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maverickusa-my.sharepoint.com/personal/jculp_maverickusa_com/Documents/TCA/"/>
    </mc:Choice>
  </mc:AlternateContent>
  <xr:revisionPtr revIDLastSave="333" documentId="8_{BE6DB313-D638-4604-81B5-0D16BEB9AA99}" xr6:coauthVersionLast="47" xr6:coauthVersionMax="47" xr10:uidLastSave="{579CC439-F0C6-47B8-99CB-605A91181D51}"/>
  <bookViews>
    <workbookView xWindow="-96" yWindow="-96" windowWidth="30912" windowHeight="16752" xr2:uid="{636FB8AC-D07A-4BBA-805C-E76F6A9C67C7}"/>
  </bookViews>
  <sheets>
    <sheet name="HTF Funding Analysis" sheetId="9" r:id="rId1"/>
    <sheet name="HTF Funding - No Increases" sheetId="12" r:id="rId2"/>
    <sheet name="T&amp;I Opening Statements 4.29.25"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46" i="9" l="1"/>
  <c r="AV45" i="9"/>
  <c r="AV44" i="9"/>
  <c r="AV43" i="9"/>
  <c r="AV42" i="9"/>
  <c r="AV41" i="9"/>
  <c r="AV40" i="9"/>
  <c r="AV39" i="9"/>
  <c r="AV38" i="9"/>
  <c r="AU39" i="9"/>
  <c r="AU40" i="9" s="1"/>
  <c r="AU41" i="9" s="1"/>
  <c r="AU42" i="9" s="1"/>
  <c r="AU43" i="9" s="1"/>
  <c r="AU44" i="9" s="1"/>
  <c r="AU45" i="9" s="1"/>
  <c r="AU46" i="9" s="1"/>
  <c r="AU38" i="9"/>
  <c r="AS39" i="9"/>
  <c r="AS40" i="9" s="1"/>
  <c r="AS41" i="9" s="1"/>
  <c r="AS42" i="9" s="1"/>
  <c r="AS43" i="9" s="1"/>
  <c r="AS44" i="9" s="1"/>
  <c r="AS45" i="9" s="1"/>
  <c r="AS46" i="9" s="1"/>
  <c r="AS38" i="9"/>
  <c r="AR37" i="9"/>
  <c r="AR38" i="9" s="1"/>
  <c r="AR39" i="9" s="1"/>
  <c r="AR40" i="9" s="1"/>
  <c r="AU37" i="9"/>
  <c r="AT46" i="9"/>
  <c r="AT45" i="9"/>
  <c r="AT44" i="9"/>
  <c r="AT43" i="9"/>
  <c r="AT42" i="9"/>
  <c r="AT41" i="9"/>
  <c r="AW37" i="9"/>
  <c r="AW38" i="9" s="1"/>
  <c r="AW39" i="9" s="1"/>
  <c r="AT27" i="9"/>
  <c r="AT26" i="9"/>
  <c r="AT25" i="9"/>
  <c r="AT24" i="9"/>
  <c r="AT23" i="9"/>
  <c r="AT22" i="9"/>
  <c r="AT21" i="9"/>
  <c r="AT20" i="9"/>
  <c r="AT19" i="9"/>
  <c r="AT18" i="9"/>
  <c r="AS23" i="9"/>
  <c r="AS27" i="9"/>
  <c r="AS26" i="9"/>
  <c r="AS25" i="9"/>
  <c r="AS24" i="9"/>
  <c r="AS22" i="9"/>
  <c r="AS21" i="9"/>
  <c r="AS20" i="9"/>
  <c r="AS19" i="9"/>
  <c r="AS18" i="9"/>
  <c r="AW18" i="9" s="1"/>
  <c r="AW19" i="9" s="1"/>
  <c r="AR41" i="9" l="1"/>
  <c r="AR42" i="9" s="1"/>
  <c r="AX37" i="9"/>
  <c r="AW40" i="9"/>
  <c r="AW41" i="9" s="1"/>
  <c r="AX39" i="9"/>
  <c r="AX38" i="9"/>
  <c r="AW20" i="9"/>
  <c r="AX40" i="9" l="1"/>
  <c r="AR43" i="9"/>
  <c r="AX41" i="9"/>
  <c r="AW42" i="9"/>
  <c r="AW21" i="9"/>
  <c r="AR44" i="9" l="1"/>
  <c r="AW43" i="9"/>
  <c r="AX42" i="9"/>
  <c r="AW22" i="9"/>
  <c r="AR45" i="9" l="1"/>
  <c r="AW44" i="9"/>
  <c r="AX43" i="9"/>
  <c r="AW23" i="9"/>
  <c r="AR46" i="9" l="1"/>
  <c r="AW45" i="9"/>
  <c r="AX44" i="9"/>
  <c r="AW24" i="9"/>
  <c r="AR47" i="9" l="1"/>
  <c r="AW46" i="9"/>
  <c r="AX46" i="9" s="1"/>
  <c r="AX45" i="9"/>
  <c r="AY45" i="9" s="1"/>
  <c r="AW25" i="9"/>
  <c r="AC35" i="9"/>
  <c r="AC34" i="9"/>
  <c r="AC33" i="9"/>
  <c r="AC32" i="9"/>
  <c r="AC31" i="9"/>
  <c r="AC30" i="9"/>
  <c r="AC29" i="9"/>
  <c r="AC28" i="9"/>
  <c r="AC27" i="9"/>
  <c r="AC26" i="9"/>
  <c r="I46" i="12"/>
  <c r="I48" i="12" s="1"/>
  <c r="G46" i="12"/>
  <c r="AC35" i="12"/>
  <c r="AC34" i="12"/>
  <c r="AC33" i="12"/>
  <c r="AC32" i="12"/>
  <c r="AC31" i="12"/>
  <c r="AC30" i="12"/>
  <c r="N30" i="12"/>
  <c r="AC29" i="12"/>
  <c r="AC28" i="12"/>
  <c r="AC27" i="12"/>
  <c r="Y27" i="12"/>
  <c r="Y28" i="12" s="1"/>
  <c r="Y29" i="12" s="1"/>
  <c r="Y30" i="12" s="1"/>
  <c r="Y31" i="12" s="1"/>
  <c r="Y32" i="12" s="1"/>
  <c r="Y33" i="12" s="1"/>
  <c r="Y34" i="12" s="1"/>
  <c r="Y35" i="12" s="1"/>
  <c r="N27" i="12"/>
  <c r="N28" i="12" s="1"/>
  <c r="N29" i="12" s="1"/>
  <c r="AC26" i="12"/>
  <c r="AC36" i="12" s="1"/>
  <c r="R26" i="12"/>
  <c r="AH21" i="12"/>
  <c r="AH23" i="12" s="1"/>
  <c r="AH25" i="12" s="1"/>
  <c r="AH27" i="12" s="1"/>
  <c r="AH29" i="12" s="1"/>
  <c r="AH31" i="12" s="1"/>
  <c r="AH33" i="12" s="1"/>
  <c r="AH35" i="12" s="1"/>
  <c r="AH37" i="12" s="1"/>
  <c r="AI18" i="12"/>
  <c r="N18" i="12"/>
  <c r="M18" i="12"/>
  <c r="V17" i="12"/>
  <c r="P17" i="12"/>
  <c r="O17" i="12"/>
  <c r="J17" i="12"/>
  <c r="G17" i="12"/>
  <c r="E17" i="12"/>
  <c r="AM18" i="12" s="1"/>
  <c r="D17" i="12"/>
  <c r="W17" i="12" s="1"/>
  <c r="W16" i="12"/>
  <c r="V16" i="12"/>
  <c r="P16" i="12"/>
  <c r="O16" i="12"/>
  <c r="J16" i="12"/>
  <c r="G16" i="12"/>
  <c r="I16" i="12" s="1"/>
  <c r="F16" i="12"/>
  <c r="AK15" i="12"/>
  <c r="AI15" i="12"/>
  <c r="W15" i="12"/>
  <c r="V15" i="12"/>
  <c r="P15" i="12"/>
  <c r="O15" i="12"/>
  <c r="J15" i="12"/>
  <c r="G15" i="12"/>
  <c r="I15" i="12" s="1"/>
  <c r="F15" i="12"/>
  <c r="AB14" i="12"/>
  <c r="AB15" i="12" s="1"/>
  <c r="AB16" i="12" s="1"/>
  <c r="AB17" i="12" s="1"/>
  <c r="Y14" i="12"/>
  <c r="Y15" i="12" s="1"/>
  <c r="Y16" i="12" s="1"/>
  <c r="Y17" i="12" s="1"/>
  <c r="W14" i="12"/>
  <c r="V14" i="12"/>
  <c r="X14" i="12" s="1"/>
  <c r="P14" i="12"/>
  <c r="O14" i="12"/>
  <c r="J14" i="12"/>
  <c r="G14" i="12"/>
  <c r="I14" i="12" s="1"/>
  <c r="F14" i="12"/>
  <c r="W13" i="12"/>
  <c r="V13" i="12"/>
  <c r="X13" i="12" s="1"/>
  <c r="R13" i="12"/>
  <c r="P13" i="12"/>
  <c r="O13" i="12"/>
  <c r="J13" i="12"/>
  <c r="G13" i="12"/>
  <c r="I13" i="12" s="1"/>
  <c r="F13" i="12"/>
  <c r="R12" i="12"/>
  <c r="R17" i="12" s="1"/>
  <c r="T17" i="12" s="1"/>
  <c r="Q12" i="12"/>
  <c r="Q17" i="12" s="1"/>
  <c r="S17" i="12" s="1"/>
  <c r="R8" i="12"/>
  <c r="AK15" i="9"/>
  <c r="AI15" i="9"/>
  <c r="I46" i="9"/>
  <c r="AI18" i="9"/>
  <c r="N18" i="9"/>
  <c r="M18" i="9"/>
  <c r="AB14" i="9"/>
  <c r="Y14" i="9"/>
  <c r="Y15" i="9" s="1"/>
  <c r="Y16" i="9" s="1"/>
  <c r="Y17" i="9" s="1"/>
  <c r="Y27" i="9" s="1"/>
  <c r="Y28" i="9" s="1"/>
  <c r="Y29" i="9" s="1"/>
  <c r="Y30" i="9" s="1"/>
  <c r="Y31" i="9" s="1"/>
  <c r="Y32" i="9" s="1"/>
  <c r="Y33" i="9" s="1"/>
  <c r="Y34" i="9" s="1"/>
  <c r="Y35" i="9" s="1"/>
  <c r="Q12" i="9"/>
  <c r="R12" i="9"/>
  <c r="J17" i="9"/>
  <c r="J16" i="9"/>
  <c r="J15" i="9"/>
  <c r="J14" i="9"/>
  <c r="N27" i="9"/>
  <c r="N28" i="9" s="1"/>
  <c r="N29" i="9" s="1"/>
  <c r="N30" i="9" s="1"/>
  <c r="N31" i="9" s="1"/>
  <c r="G17" i="9"/>
  <c r="G16" i="9"/>
  <c r="I16" i="9" s="1"/>
  <c r="G15" i="9"/>
  <c r="I15" i="9" s="1"/>
  <c r="G14" i="9"/>
  <c r="I14" i="9" s="1"/>
  <c r="F16" i="9"/>
  <c r="F15" i="9"/>
  <c r="F14" i="9"/>
  <c r="F13" i="9"/>
  <c r="G13" i="9"/>
  <c r="I13" i="9" s="1"/>
  <c r="AH21" i="9"/>
  <c r="AH23" i="9" s="1"/>
  <c r="AH25" i="9" s="1"/>
  <c r="AH27" i="9" s="1"/>
  <c r="AH29" i="9" s="1"/>
  <c r="AH31" i="9" s="1"/>
  <c r="AH33" i="9" s="1"/>
  <c r="AH35" i="9" s="1"/>
  <c r="AH37" i="9" s="1"/>
  <c r="G46" i="9"/>
  <c r="W13" i="9"/>
  <c r="V13" i="9"/>
  <c r="P13" i="9"/>
  <c r="O13" i="9"/>
  <c r="W14" i="9"/>
  <c r="V14" i="9"/>
  <c r="P14" i="9"/>
  <c r="O14" i="9"/>
  <c r="W15" i="9"/>
  <c r="V15" i="9"/>
  <c r="P15" i="9"/>
  <c r="O15" i="9"/>
  <c r="W16" i="9"/>
  <c r="V16" i="9"/>
  <c r="P16" i="9"/>
  <c r="O16" i="9"/>
  <c r="E17" i="9"/>
  <c r="AM18" i="9" s="1"/>
  <c r="J49" i="9" s="1"/>
  <c r="D17" i="9"/>
  <c r="W17" i="9" s="1"/>
  <c r="V17" i="9"/>
  <c r="P17" i="9"/>
  <c r="O17" i="9"/>
  <c r="R26" i="9" l="1"/>
  <c r="AV37" i="9"/>
  <c r="AY46" i="9"/>
  <c r="Q17" i="9"/>
  <c r="AY38" i="9"/>
  <c r="AY37" i="9"/>
  <c r="AY39" i="9"/>
  <c r="AY47" i="9" s="1"/>
  <c r="AZ38" i="9"/>
  <c r="AY40" i="9"/>
  <c r="AY41" i="9"/>
  <c r="AZ43" i="9"/>
  <c r="AY42" i="9"/>
  <c r="AY43" i="9"/>
  <c r="AZ46" i="9"/>
  <c r="I48" i="9"/>
  <c r="AZ45" i="9"/>
  <c r="AY44" i="9"/>
  <c r="AU47" i="9"/>
  <c r="AX47" i="9"/>
  <c r="AW26" i="9"/>
  <c r="J46" i="9"/>
  <c r="Q13" i="12"/>
  <c r="S13" i="12" s="1"/>
  <c r="U13" i="12" s="1"/>
  <c r="AA13" i="12" s="1"/>
  <c r="T13" i="12"/>
  <c r="S12" i="12"/>
  <c r="I17" i="12"/>
  <c r="AK18" i="12"/>
  <c r="Q14" i="12"/>
  <c r="S14" i="12" s="1"/>
  <c r="X16" i="12"/>
  <c r="F17" i="12"/>
  <c r="X17" i="12"/>
  <c r="X15" i="12"/>
  <c r="R29" i="12"/>
  <c r="R30" i="12"/>
  <c r="T12" i="12"/>
  <c r="AD40" i="12" s="1"/>
  <c r="Q15" i="12"/>
  <c r="S15" i="12" s="1"/>
  <c r="U15" i="12" s="1"/>
  <c r="AA15" i="12" s="1"/>
  <c r="Q16" i="12"/>
  <c r="S16" i="12" s="1"/>
  <c r="Q8" i="12"/>
  <c r="G53" i="12"/>
  <c r="G55" i="12" s="1"/>
  <c r="U17" i="12"/>
  <c r="I40" i="12"/>
  <c r="G40" i="12"/>
  <c r="E41" i="12"/>
  <c r="I41" i="12"/>
  <c r="E40" i="12"/>
  <c r="G47" i="12"/>
  <c r="J47" i="12" s="1"/>
  <c r="G41" i="12"/>
  <c r="I42" i="12"/>
  <c r="E42" i="12"/>
  <c r="AB43" i="12"/>
  <c r="AB41" i="12"/>
  <c r="AC42" i="12"/>
  <c r="AC40" i="12"/>
  <c r="AC43" i="12"/>
  <c r="AB40" i="12"/>
  <c r="N31" i="12"/>
  <c r="AO18" i="12"/>
  <c r="AN18" i="12" s="1"/>
  <c r="R27" i="12"/>
  <c r="Y36" i="12"/>
  <c r="R28" i="12"/>
  <c r="G48" i="12"/>
  <c r="J49" i="12"/>
  <c r="AM19" i="12"/>
  <c r="G42" i="12"/>
  <c r="Z17" i="12"/>
  <c r="AC17" i="12" s="1"/>
  <c r="AL18" i="12"/>
  <c r="R14" i="12"/>
  <c r="T14" i="12" s="1"/>
  <c r="R16" i="12"/>
  <c r="T16" i="12" s="1"/>
  <c r="R15" i="12"/>
  <c r="T15" i="12" s="1"/>
  <c r="J46" i="12"/>
  <c r="AK18" i="9"/>
  <c r="AO18" i="9" s="1"/>
  <c r="AL18" i="9" s="1"/>
  <c r="Y36" i="9"/>
  <c r="Q14" i="9"/>
  <c r="S14" i="9" s="1"/>
  <c r="AB15" i="9"/>
  <c r="AB16" i="9" s="1"/>
  <c r="AB17" i="9" s="1"/>
  <c r="Q15" i="9"/>
  <c r="S12" i="9"/>
  <c r="Q16" i="9"/>
  <c r="S16" i="9" s="1"/>
  <c r="Q13" i="9"/>
  <c r="S13" i="9" s="1"/>
  <c r="Q8" i="9"/>
  <c r="N32" i="9"/>
  <c r="N33" i="9" s="1"/>
  <c r="N34" i="9" s="1"/>
  <c r="N35" i="9" s="1"/>
  <c r="R35" i="9" s="1"/>
  <c r="R31" i="9"/>
  <c r="R15" i="9"/>
  <c r="T15" i="9" s="1"/>
  <c r="R16" i="9"/>
  <c r="T16" i="9" s="1"/>
  <c r="R17" i="9"/>
  <c r="T17" i="9" s="1"/>
  <c r="R8" i="9"/>
  <c r="R13" i="9"/>
  <c r="T13" i="9" s="1"/>
  <c r="R27" i="9"/>
  <c r="T12" i="9"/>
  <c r="R14" i="9"/>
  <c r="T14" i="9" s="1"/>
  <c r="R29" i="9"/>
  <c r="I17" i="9"/>
  <c r="R28" i="9"/>
  <c r="R30" i="9"/>
  <c r="F17" i="9"/>
  <c r="X15" i="9"/>
  <c r="X14" i="9"/>
  <c r="X17" i="9"/>
  <c r="X16" i="9"/>
  <c r="AM19" i="9"/>
  <c r="AM21" i="9" s="1"/>
  <c r="X13" i="9"/>
  <c r="S17" i="9"/>
  <c r="AZ44" i="9" l="1"/>
  <c r="AZ40" i="9"/>
  <c r="AZ41" i="9"/>
  <c r="AZ42" i="9"/>
  <c r="AV47" i="9"/>
  <c r="AZ39" i="9"/>
  <c r="AZ37" i="9"/>
  <c r="AW27" i="9"/>
  <c r="AD41" i="12"/>
  <c r="AD42" i="12"/>
  <c r="AC41" i="12"/>
  <c r="AD43" i="12"/>
  <c r="Z13" i="12"/>
  <c r="AC13" i="12" s="1"/>
  <c r="AD44" i="12"/>
  <c r="U16" i="12"/>
  <c r="AA16" i="12" s="1"/>
  <c r="AC44" i="12"/>
  <c r="AB42" i="12"/>
  <c r="AA17" i="12"/>
  <c r="Z15" i="12"/>
  <c r="AC15" i="12" s="1"/>
  <c r="AB44" i="12"/>
  <c r="J48" i="12"/>
  <c r="AI19" i="12"/>
  <c r="AK19" i="12"/>
  <c r="AK20" i="12" s="1"/>
  <c r="R31" i="12"/>
  <c r="N32" i="12"/>
  <c r="J50" i="12"/>
  <c r="Z16" i="12"/>
  <c r="AC16" i="12" s="1"/>
  <c r="AM21" i="12"/>
  <c r="AM23" i="12" s="1"/>
  <c r="AM20" i="12"/>
  <c r="Z14" i="12"/>
  <c r="AC14" i="12" s="1"/>
  <c r="AJ18" i="12"/>
  <c r="U14" i="12"/>
  <c r="AA14" i="12" s="1"/>
  <c r="AD41" i="9"/>
  <c r="AD44" i="9"/>
  <c r="AD40" i="9"/>
  <c r="AC44" i="9"/>
  <c r="AC42" i="9"/>
  <c r="AB44" i="9"/>
  <c r="AC41" i="9"/>
  <c r="AD43" i="9"/>
  <c r="AC40" i="9"/>
  <c r="AB40" i="9"/>
  <c r="AC43" i="9"/>
  <c r="AB42" i="9"/>
  <c r="AB43" i="9"/>
  <c r="AB41" i="9"/>
  <c r="AD42" i="9"/>
  <c r="I41" i="9"/>
  <c r="G42" i="9"/>
  <c r="G41" i="9"/>
  <c r="E42" i="9"/>
  <c r="E41" i="9"/>
  <c r="I40" i="9"/>
  <c r="G40" i="9"/>
  <c r="I42" i="9"/>
  <c r="E40" i="9"/>
  <c r="R33" i="9"/>
  <c r="G53" i="9"/>
  <c r="G55" i="9" s="1"/>
  <c r="R32" i="9"/>
  <c r="R34" i="9"/>
  <c r="G47" i="9"/>
  <c r="Z15" i="9"/>
  <c r="AC15" i="9" s="1"/>
  <c r="Z17" i="9"/>
  <c r="AC17" i="9" s="1"/>
  <c r="S15" i="9"/>
  <c r="U15" i="9" s="1"/>
  <c r="AA15" i="9" s="1"/>
  <c r="Z16" i="9"/>
  <c r="AC16" i="9" s="1"/>
  <c r="Z14" i="9"/>
  <c r="AC14" i="9" s="1"/>
  <c r="Z13" i="9"/>
  <c r="AC13" i="9" s="1"/>
  <c r="U13" i="9"/>
  <c r="AA13" i="9" s="1"/>
  <c r="AJ18" i="9"/>
  <c r="AN18" i="9"/>
  <c r="AM20" i="9"/>
  <c r="AK21" i="9"/>
  <c r="AI21" i="9"/>
  <c r="AI19" i="9"/>
  <c r="AI20" i="9" s="1"/>
  <c r="C26" i="9" s="1"/>
  <c r="AM23" i="9"/>
  <c r="AK23" i="9" s="1"/>
  <c r="AK19" i="9"/>
  <c r="AK20" i="9" s="1"/>
  <c r="U16" i="9"/>
  <c r="AA16" i="9" s="1"/>
  <c r="U17" i="9"/>
  <c r="AA17" i="9" s="1"/>
  <c r="U14" i="9"/>
  <c r="AA14" i="9" s="1"/>
  <c r="AZ47" i="9" l="1"/>
  <c r="AM25" i="12"/>
  <c r="AM27" i="12" s="1"/>
  <c r="AI20" i="12"/>
  <c r="AO19" i="12"/>
  <c r="AO20" i="12" s="1"/>
  <c r="AO22" i="12" s="1"/>
  <c r="AO24" i="12" s="1"/>
  <c r="AO26" i="12" s="1"/>
  <c r="AO28" i="12" s="1"/>
  <c r="AO30" i="12" s="1"/>
  <c r="AO32" i="12" s="1"/>
  <c r="AO34" i="12" s="1"/>
  <c r="AO36" i="12" s="1"/>
  <c r="AO38" i="12" s="1"/>
  <c r="Z19" i="12"/>
  <c r="AK25" i="12"/>
  <c r="Z18" i="12"/>
  <c r="E26" i="12"/>
  <c r="G26" i="12" s="1"/>
  <c r="M26" i="12" s="1"/>
  <c r="Q26" i="12" s="1"/>
  <c r="AM22" i="12"/>
  <c r="AM44" i="12" s="1"/>
  <c r="R32" i="12"/>
  <c r="N33" i="12"/>
  <c r="AI23" i="12"/>
  <c r="AK23" i="12"/>
  <c r="AI21" i="12"/>
  <c r="AK21" i="12"/>
  <c r="AC19" i="12"/>
  <c r="AC18" i="12"/>
  <c r="AM43" i="12"/>
  <c r="D26" i="12"/>
  <c r="W26" i="12" s="1"/>
  <c r="AK43" i="12"/>
  <c r="AK22" i="12"/>
  <c r="AK43" i="9"/>
  <c r="D26" i="9"/>
  <c r="W26" i="9" s="1"/>
  <c r="AM22" i="9"/>
  <c r="E27" i="9" s="1"/>
  <c r="G27" i="9" s="1"/>
  <c r="E26" i="9"/>
  <c r="G26" i="9" s="1"/>
  <c r="G48" i="9"/>
  <c r="J47" i="9"/>
  <c r="AC19" i="9"/>
  <c r="Z18" i="9"/>
  <c r="Z19" i="9"/>
  <c r="AM25" i="9"/>
  <c r="AK25" i="9" s="1"/>
  <c r="AI23" i="9"/>
  <c r="AK22" i="9"/>
  <c r="D27" i="9" s="1"/>
  <c r="W27" i="9" s="1"/>
  <c r="AO19" i="9"/>
  <c r="AO20" i="9" s="1"/>
  <c r="AJ20" i="9" s="1"/>
  <c r="AI43" i="9"/>
  <c r="AI22" i="9"/>
  <c r="M27" i="9" l="1"/>
  <c r="Q27" i="9" s="1"/>
  <c r="AR19" i="9"/>
  <c r="AM24" i="9"/>
  <c r="E28" i="9" s="1"/>
  <c r="G28" i="9" s="1"/>
  <c r="M26" i="9"/>
  <c r="Q26" i="9" s="1"/>
  <c r="AR18" i="9"/>
  <c r="AI25" i="12"/>
  <c r="AM29" i="12"/>
  <c r="AM31" i="12" s="1"/>
  <c r="AN20" i="12"/>
  <c r="AK44" i="12"/>
  <c r="AK24" i="12"/>
  <c r="D27" i="12"/>
  <c r="W27" i="12" s="1"/>
  <c r="AL22" i="12"/>
  <c r="AM24" i="12"/>
  <c r="E27" i="12"/>
  <c r="G27" i="12" s="1"/>
  <c r="M27" i="12" s="1"/>
  <c r="Q27" i="12" s="1"/>
  <c r="AN22" i="12"/>
  <c r="AI29" i="12"/>
  <c r="AK29" i="12"/>
  <c r="AL20" i="12"/>
  <c r="AI22" i="12"/>
  <c r="C26" i="12"/>
  <c r="AJ20" i="12"/>
  <c r="AI43" i="12"/>
  <c r="AO43" i="12" s="1"/>
  <c r="AL43" i="12" s="1"/>
  <c r="N34" i="12"/>
  <c r="R33" i="12"/>
  <c r="AK27" i="12"/>
  <c r="AI27" i="12"/>
  <c r="AI44" i="9"/>
  <c r="C27" i="9"/>
  <c r="AK24" i="9"/>
  <c r="AK44" i="9"/>
  <c r="J48" i="9"/>
  <c r="J50" i="9"/>
  <c r="AM43" i="9" s="1"/>
  <c r="AO43" i="9" s="1"/>
  <c r="V26" i="9"/>
  <c r="F26" i="9"/>
  <c r="AC18" i="9"/>
  <c r="AM27" i="9"/>
  <c r="AI27" i="9" s="1"/>
  <c r="AI25" i="9"/>
  <c r="AO22" i="9"/>
  <c r="AJ22" i="9" s="1"/>
  <c r="AN20" i="9"/>
  <c r="AL20" i="9"/>
  <c r="AI24" i="9"/>
  <c r="AU19" i="9" l="1"/>
  <c r="AV19" i="9" s="1"/>
  <c r="AX19" i="9"/>
  <c r="AY19" i="9" s="1"/>
  <c r="AZ19" i="9" s="1"/>
  <c r="M28" i="9"/>
  <c r="Q28" i="9" s="1"/>
  <c r="AR20" i="9"/>
  <c r="AM26" i="9"/>
  <c r="E29" i="9" s="1"/>
  <c r="G29" i="9" s="1"/>
  <c r="AU18" i="9"/>
  <c r="AX18" i="9"/>
  <c r="AM33" i="12"/>
  <c r="AM35" i="12" s="1"/>
  <c r="AI31" i="12"/>
  <c r="AK31" i="12"/>
  <c r="R34" i="12"/>
  <c r="N35" i="12"/>
  <c r="R35" i="12" s="1"/>
  <c r="AN24" i="12"/>
  <c r="E28" i="12"/>
  <c r="G28" i="12" s="1"/>
  <c r="M28" i="12" s="1"/>
  <c r="Q28" i="12" s="1"/>
  <c r="AM26" i="12"/>
  <c r="AM45" i="12"/>
  <c r="AJ43" i="12"/>
  <c r="AI44" i="12"/>
  <c r="AI24" i="12"/>
  <c r="AJ22" i="12"/>
  <c r="C27" i="12"/>
  <c r="AO54" i="12"/>
  <c r="AN43" i="12"/>
  <c r="V26" i="12"/>
  <c r="F26" i="12"/>
  <c r="AK45" i="12"/>
  <c r="AK26" i="12"/>
  <c r="AL24" i="12"/>
  <c r="D28" i="12"/>
  <c r="W28" i="12" s="1"/>
  <c r="AI45" i="9"/>
  <c r="C28" i="9"/>
  <c r="AK45" i="9"/>
  <c r="D28" i="9"/>
  <c r="W28" i="9" s="1"/>
  <c r="AK26" i="9"/>
  <c r="Z26" i="9"/>
  <c r="AM45" i="9"/>
  <c r="AM44" i="9"/>
  <c r="AO44" i="9" s="1"/>
  <c r="V27" i="9"/>
  <c r="F27" i="9"/>
  <c r="X26" i="9"/>
  <c r="AM29" i="9"/>
  <c r="AI29" i="9" s="1"/>
  <c r="AK27" i="9"/>
  <c r="AO24" i="9"/>
  <c r="AJ24" i="9" s="1"/>
  <c r="AN22" i="9"/>
  <c r="AL22" i="9"/>
  <c r="AM28" i="9"/>
  <c r="E30" i="9" s="1"/>
  <c r="G30" i="9" s="1"/>
  <c r="AM46" i="9"/>
  <c r="AO54" i="9"/>
  <c r="AL43" i="9"/>
  <c r="AN43" i="9"/>
  <c r="AI26" i="9"/>
  <c r="AJ43" i="9"/>
  <c r="AY18" i="9" l="1"/>
  <c r="AV18" i="9"/>
  <c r="AU20" i="9"/>
  <c r="AV20" i="9" s="1"/>
  <c r="AX20" i="9"/>
  <c r="AY20" i="9" s="1"/>
  <c r="AZ20" i="9" s="1"/>
  <c r="AZ18" i="9"/>
  <c r="M30" i="9"/>
  <c r="Q30" i="9" s="1"/>
  <c r="AR22" i="9"/>
  <c r="M29" i="9"/>
  <c r="Q29" i="9" s="1"/>
  <c r="AR21" i="9"/>
  <c r="AK35" i="12"/>
  <c r="AI35" i="12"/>
  <c r="AK33" i="12"/>
  <c r="AI33" i="12"/>
  <c r="AM37" i="12"/>
  <c r="AK37" i="12" s="1"/>
  <c r="AI26" i="12"/>
  <c r="AI45" i="12"/>
  <c r="AO45" i="12" s="1"/>
  <c r="AJ24" i="12"/>
  <c r="C28" i="12"/>
  <c r="X26" i="12"/>
  <c r="Z26" i="12"/>
  <c r="AK46" i="12"/>
  <c r="AL26" i="12"/>
  <c r="D29" i="12"/>
  <c r="W29" i="12" s="1"/>
  <c r="AK28" i="12"/>
  <c r="F27" i="12"/>
  <c r="V27" i="12"/>
  <c r="AI37" i="12"/>
  <c r="AO44" i="12"/>
  <c r="AJ44" i="12" s="1"/>
  <c r="AM28" i="12"/>
  <c r="E29" i="12"/>
  <c r="G29" i="12" s="1"/>
  <c r="M29" i="12" s="1"/>
  <c r="Q29" i="12" s="1"/>
  <c r="AN26" i="12"/>
  <c r="AM46" i="12"/>
  <c r="AK46" i="9"/>
  <c r="D29" i="9"/>
  <c r="W29" i="9" s="1"/>
  <c r="AI46" i="9"/>
  <c r="C29" i="9"/>
  <c r="AK28" i="9"/>
  <c r="AN44" i="9"/>
  <c r="AL44" i="9"/>
  <c r="AJ44" i="9"/>
  <c r="X27" i="9"/>
  <c r="Z27" i="9"/>
  <c r="AB26" i="9"/>
  <c r="V28" i="9"/>
  <c r="F28" i="9"/>
  <c r="AK29" i="9"/>
  <c r="AM31" i="9"/>
  <c r="AM33" i="9" s="1"/>
  <c r="AK33" i="9" s="1"/>
  <c r="AO26" i="9"/>
  <c r="AJ26" i="9" s="1"/>
  <c r="AN24" i="9"/>
  <c r="AL24" i="9"/>
  <c r="AM30" i="9"/>
  <c r="E31" i="9" s="1"/>
  <c r="G31" i="9" s="1"/>
  <c r="AM47" i="9"/>
  <c r="AI28" i="9"/>
  <c r="C30" i="9" s="1"/>
  <c r="AO45" i="9"/>
  <c r="AJ45" i="9" s="1"/>
  <c r="AU21" i="9" l="1"/>
  <c r="AV21" i="9" s="1"/>
  <c r="AX21" i="9"/>
  <c r="AY21" i="9" s="1"/>
  <c r="AZ21" i="9" s="1"/>
  <c r="AU22" i="9"/>
  <c r="AV22" i="9" s="1"/>
  <c r="AX22" i="9"/>
  <c r="AY22" i="9" s="1"/>
  <c r="AZ22" i="9" s="1"/>
  <c r="M31" i="9"/>
  <c r="Q31" i="9" s="1"/>
  <c r="AR23" i="9"/>
  <c r="AO46" i="9"/>
  <c r="AL46" i="9" s="1"/>
  <c r="AD26" i="9"/>
  <c r="AL45" i="12"/>
  <c r="AN45" i="12"/>
  <c r="E30" i="12"/>
  <c r="G30" i="12" s="1"/>
  <c r="M30" i="12" s="1"/>
  <c r="Q30" i="12" s="1"/>
  <c r="AN28" i="12"/>
  <c r="AM30" i="12"/>
  <c r="AM47" i="12"/>
  <c r="AB26" i="12"/>
  <c r="X27" i="12"/>
  <c r="Z27" i="12"/>
  <c r="V28" i="12"/>
  <c r="F28" i="12"/>
  <c r="D30" i="12"/>
  <c r="W30" i="12" s="1"/>
  <c r="AL28" i="12"/>
  <c r="AK47" i="12"/>
  <c r="AK30" i="12"/>
  <c r="AK48" i="12"/>
  <c r="AJ45" i="12"/>
  <c r="AN44" i="12"/>
  <c r="AL44" i="12"/>
  <c r="AI46" i="12"/>
  <c r="AO46" i="12" s="1"/>
  <c r="AJ26" i="12"/>
  <c r="C29" i="12"/>
  <c r="AI28" i="12"/>
  <c r="AK48" i="9"/>
  <c r="D30" i="9"/>
  <c r="W30" i="9" s="1"/>
  <c r="AK47" i="9"/>
  <c r="AK30" i="9"/>
  <c r="D31" i="9" s="1"/>
  <c r="W31" i="9" s="1"/>
  <c r="AI48" i="9"/>
  <c r="AI47" i="9"/>
  <c r="AB27" i="9"/>
  <c r="X28" i="9"/>
  <c r="Z28" i="9"/>
  <c r="V29" i="9"/>
  <c r="F29" i="9"/>
  <c r="AM35" i="9"/>
  <c r="AI35" i="9" s="1"/>
  <c r="AI33" i="9"/>
  <c r="AI31" i="9"/>
  <c r="AK31" i="9"/>
  <c r="AO28" i="9"/>
  <c r="AL26" i="9"/>
  <c r="AN26" i="9"/>
  <c r="AN46" i="9"/>
  <c r="AL45" i="9"/>
  <c r="AN45" i="9"/>
  <c r="AI30" i="9"/>
  <c r="C31" i="9" s="1"/>
  <c r="AM32" i="9"/>
  <c r="E32" i="9" s="1"/>
  <c r="G32" i="9" s="1"/>
  <c r="AM48" i="9"/>
  <c r="AU23" i="9" l="1"/>
  <c r="AV23" i="9" s="1"/>
  <c r="AX23" i="9"/>
  <c r="M32" i="9"/>
  <c r="Q32" i="9" s="1"/>
  <c r="AR24" i="9"/>
  <c r="AJ46" i="9"/>
  <c r="AL46" i="12"/>
  <c r="AN46" i="12"/>
  <c r="AD26" i="12"/>
  <c r="AB27" i="12"/>
  <c r="AI47" i="12"/>
  <c r="AI30" i="12"/>
  <c r="C30" i="12"/>
  <c r="AJ28" i="12"/>
  <c r="AI48" i="12"/>
  <c r="F29" i="12"/>
  <c r="V29" i="12"/>
  <c r="AM32" i="12"/>
  <c r="E31" i="12"/>
  <c r="G31" i="12" s="1"/>
  <c r="M31" i="12" s="1"/>
  <c r="Q31" i="12" s="1"/>
  <c r="AN30" i="12"/>
  <c r="AM48" i="12"/>
  <c r="AJ46" i="12"/>
  <c r="X28" i="12"/>
  <c r="Z28" i="12"/>
  <c r="D31" i="12"/>
  <c r="W31" i="12" s="1"/>
  <c r="AK32" i="12"/>
  <c r="AL30" i="12"/>
  <c r="AK32" i="9"/>
  <c r="AB28" i="9"/>
  <c r="AD27" i="9"/>
  <c r="X29" i="9"/>
  <c r="Z29" i="9"/>
  <c r="V30" i="9"/>
  <c r="F30" i="9"/>
  <c r="AM37" i="9"/>
  <c r="AK37" i="9" s="1"/>
  <c r="AK35" i="9"/>
  <c r="AO30" i="9"/>
  <c r="AL28" i="9"/>
  <c r="AN28" i="9"/>
  <c r="AJ28" i="9"/>
  <c r="AM34" i="9"/>
  <c r="E33" i="9" s="1"/>
  <c r="G33" i="9" s="1"/>
  <c r="AM49" i="9"/>
  <c r="AI32" i="9"/>
  <c r="AO47" i="9"/>
  <c r="AJ47" i="9" s="1"/>
  <c r="AO48" i="9"/>
  <c r="AL48" i="9" s="1"/>
  <c r="AY23" i="9" l="1"/>
  <c r="AU24" i="9"/>
  <c r="AX24" i="9"/>
  <c r="AY24" i="9" s="1"/>
  <c r="M33" i="9"/>
  <c r="Q33" i="9" s="1"/>
  <c r="AR25" i="9"/>
  <c r="AJ30" i="9"/>
  <c r="AO47" i="12"/>
  <c r="X29" i="12"/>
  <c r="Z29" i="12"/>
  <c r="AB28" i="12"/>
  <c r="AD27" i="12"/>
  <c r="AL32" i="12"/>
  <c r="AK34" i="12"/>
  <c r="AK49" i="12"/>
  <c r="D32" i="12"/>
  <c r="W32" i="12" s="1"/>
  <c r="AO48" i="12"/>
  <c r="AL48" i="12" s="1"/>
  <c r="AM34" i="12"/>
  <c r="E32" i="12"/>
  <c r="G32" i="12" s="1"/>
  <c r="M32" i="12" s="1"/>
  <c r="Q32" i="12" s="1"/>
  <c r="AN32" i="12"/>
  <c r="AM49" i="12"/>
  <c r="V30" i="12"/>
  <c r="F30" i="12"/>
  <c r="AJ30" i="12"/>
  <c r="C31" i="12"/>
  <c r="AI32" i="12"/>
  <c r="AI49" i="9"/>
  <c r="C32" i="9"/>
  <c r="AK49" i="9"/>
  <c r="D32" i="9"/>
  <c r="W32" i="9" s="1"/>
  <c r="AK34" i="9"/>
  <c r="AB29" i="9"/>
  <c r="AD28" i="9"/>
  <c r="X30" i="9"/>
  <c r="Z30" i="9"/>
  <c r="V31" i="9"/>
  <c r="F31" i="9"/>
  <c r="AI37" i="9"/>
  <c r="AO32" i="9"/>
  <c r="AL30" i="9"/>
  <c r="AN30" i="9"/>
  <c r="AM36" i="9"/>
  <c r="E34" i="9" s="1"/>
  <c r="G34" i="9" s="1"/>
  <c r="AM50" i="9"/>
  <c r="AN48" i="9"/>
  <c r="AJ48" i="9"/>
  <c r="AI34" i="9"/>
  <c r="AL47" i="9"/>
  <c r="AN47" i="9"/>
  <c r="AU25" i="9" l="1"/>
  <c r="AV25" i="9" s="1"/>
  <c r="AX25" i="9"/>
  <c r="AY25" i="9" s="1"/>
  <c r="AZ25" i="9" s="1"/>
  <c r="AV24" i="9"/>
  <c r="AZ24" i="9"/>
  <c r="AZ23" i="9"/>
  <c r="M34" i="9"/>
  <c r="Q34" i="9" s="1"/>
  <c r="AR26" i="9"/>
  <c r="AO49" i="9"/>
  <c r="AJ32" i="9"/>
  <c r="AI34" i="12"/>
  <c r="AJ32" i="12"/>
  <c r="C32" i="12"/>
  <c r="AI49" i="12"/>
  <c r="V31" i="12"/>
  <c r="F31" i="12"/>
  <c r="AM36" i="12"/>
  <c r="AN34" i="12"/>
  <c r="E33" i="12"/>
  <c r="G33" i="12" s="1"/>
  <c r="M33" i="12" s="1"/>
  <c r="Q33" i="12" s="1"/>
  <c r="AM50" i="12"/>
  <c r="AK36" i="12"/>
  <c r="AL34" i="12"/>
  <c r="AK50" i="12"/>
  <c r="D33" i="12"/>
  <c r="W33" i="12" s="1"/>
  <c r="AL47" i="12"/>
  <c r="AN47" i="12"/>
  <c r="AJ48" i="12"/>
  <c r="AJ47" i="12"/>
  <c r="AB29" i="12"/>
  <c r="AD28" i="12"/>
  <c r="X30" i="12"/>
  <c r="Z30" i="12"/>
  <c r="AN48" i="12"/>
  <c r="AI50" i="9"/>
  <c r="C33" i="9"/>
  <c r="AK50" i="9"/>
  <c r="AO50" i="9" s="1"/>
  <c r="D33" i="9"/>
  <c r="W33" i="9" s="1"/>
  <c r="AK36" i="9"/>
  <c r="AK38" i="9" s="1"/>
  <c r="D35" i="9" s="1"/>
  <c r="W35" i="9" s="1"/>
  <c r="AB30" i="9"/>
  <c r="AD29" i="9"/>
  <c r="X31" i="9"/>
  <c r="Z31" i="9"/>
  <c r="V32" i="9"/>
  <c r="F32" i="9"/>
  <c r="AO34" i="9"/>
  <c r="AL32" i="9"/>
  <c r="AN32" i="9"/>
  <c r="AN49" i="9"/>
  <c r="AM38" i="9"/>
  <c r="E35" i="9" s="1"/>
  <c r="G35" i="9" s="1"/>
  <c r="AM51" i="9"/>
  <c r="AL49" i="9"/>
  <c r="AJ49" i="9"/>
  <c r="AI36" i="9"/>
  <c r="AU26" i="9" l="1"/>
  <c r="AX26" i="9"/>
  <c r="M35" i="9"/>
  <c r="Q35" i="9" s="1"/>
  <c r="AR27" i="9"/>
  <c r="AB30" i="12"/>
  <c r="AD29" i="12"/>
  <c r="D34" i="12"/>
  <c r="W34" i="12" s="1"/>
  <c r="AL36" i="12"/>
  <c r="AK51" i="12"/>
  <c r="AK38" i="12"/>
  <c r="F32" i="12"/>
  <c r="V32" i="12"/>
  <c r="AN36" i="12"/>
  <c r="E34" i="12"/>
  <c r="G34" i="12" s="1"/>
  <c r="M34" i="12" s="1"/>
  <c r="Q34" i="12" s="1"/>
  <c r="AM38" i="12"/>
  <c r="AM51" i="12"/>
  <c r="AI36" i="12"/>
  <c r="C33" i="12"/>
  <c r="AI50" i="12"/>
  <c r="AJ34" i="12"/>
  <c r="X31" i="12"/>
  <c r="Z31" i="12"/>
  <c r="AO49" i="12"/>
  <c r="AI51" i="9"/>
  <c r="C34" i="9"/>
  <c r="AK51" i="9"/>
  <c r="AO51" i="9" s="1"/>
  <c r="D34" i="9"/>
  <c r="W34" i="9" s="1"/>
  <c r="W36" i="9" s="1"/>
  <c r="AB31" i="9"/>
  <c r="AD30" i="9"/>
  <c r="V33" i="9"/>
  <c r="F33" i="9"/>
  <c r="X32" i="9"/>
  <c r="Z32" i="9"/>
  <c r="AO36" i="9"/>
  <c r="AJ36" i="9" s="1"/>
  <c r="AL34" i="9"/>
  <c r="AN34" i="9"/>
  <c r="AJ34" i="9"/>
  <c r="AL50" i="9"/>
  <c r="AN50" i="9"/>
  <c r="AI38" i="9"/>
  <c r="AM52" i="9"/>
  <c r="AK52" i="9"/>
  <c r="AK53" i="9" s="1"/>
  <c r="AJ50" i="9"/>
  <c r="AU27" i="9" l="1"/>
  <c r="AV27" i="9" s="1"/>
  <c r="AX27" i="9"/>
  <c r="AY27" i="9" s="1"/>
  <c r="AZ27" i="9" s="1"/>
  <c r="AR28" i="9"/>
  <c r="AY26" i="9"/>
  <c r="AX28" i="9"/>
  <c r="AV26" i="9"/>
  <c r="AU28" i="9"/>
  <c r="X32" i="12"/>
  <c r="Z32" i="12"/>
  <c r="AI51" i="12"/>
  <c r="AI38" i="12"/>
  <c r="C34" i="12"/>
  <c r="AJ36" i="12"/>
  <c r="AD30" i="12"/>
  <c r="AB31" i="12"/>
  <c r="AN49" i="12"/>
  <c r="AL49" i="12"/>
  <c r="AO51" i="12"/>
  <c r="AL51" i="12" s="1"/>
  <c r="F33" i="12"/>
  <c r="V33" i="12"/>
  <c r="AJ49" i="12"/>
  <c r="AN38" i="12"/>
  <c r="E35" i="12"/>
  <c r="G35" i="12" s="1"/>
  <c r="M35" i="12" s="1"/>
  <c r="Q35" i="12" s="1"/>
  <c r="AM52" i="12"/>
  <c r="D35" i="12"/>
  <c r="W35" i="12" s="1"/>
  <c r="W36" i="12" s="1"/>
  <c r="AL38" i="12"/>
  <c r="AK52" i="12"/>
  <c r="AO50" i="12"/>
  <c r="AJ50" i="12" s="1"/>
  <c r="AI52" i="9"/>
  <c r="C35" i="9"/>
  <c r="F35" i="9" s="1"/>
  <c r="AB32" i="9"/>
  <c r="AD31" i="9"/>
  <c r="V34" i="9"/>
  <c r="F34" i="9"/>
  <c r="X33" i="9"/>
  <c r="Z33" i="9"/>
  <c r="AL51" i="9"/>
  <c r="AN51" i="9"/>
  <c r="AO38" i="9"/>
  <c r="AJ38" i="9" s="1"/>
  <c r="AN36" i="9"/>
  <c r="AL36" i="9"/>
  <c r="AJ51" i="9"/>
  <c r="AM53" i="9"/>
  <c r="AZ26" i="9" l="1"/>
  <c r="AY28" i="9"/>
  <c r="AZ28" i="9"/>
  <c r="AV28" i="9"/>
  <c r="AN51" i="12"/>
  <c r="X33" i="12"/>
  <c r="Z33" i="12"/>
  <c r="AM53" i="12"/>
  <c r="V34" i="12"/>
  <c r="F34" i="12"/>
  <c r="AJ51" i="12"/>
  <c r="AK53" i="12"/>
  <c r="AJ38" i="12"/>
  <c r="AI52" i="12"/>
  <c r="C35" i="12"/>
  <c r="AN50" i="12"/>
  <c r="AL50" i="12"/>
  <c r="AD31" i="12"/>
  <c r="AB32" i="12"/>
  <c r="V35" i="9"/>
  <c r="V36" i="9" s="1"/>
  <c r="AB33" i="9"/>
  <c r="AD32" i="9"/>
  <c r="AC36" i="9"/>
  <c r="X34" i="9"/>
  <c r="Z34" i="9"/>
  <c r="AN38" i="9"/>
  <c r="AL38" i="9"/>
  <c r="AI53" i="9"/>
  <c r="AO52" i="9"/>
  <c r="X35" i="9" l="1"/>
  <c r="X36" i="9" s="1"/>
  <c r="Z35" i="9"/>
  <c r="X34" i="12"/>
  <c r="Z34" i="12"/>
  <c r="V35" i="12"/>
  <c r="F35" i="12"/>
  <c r="AI53" i="12"/>
  <c r="AO52" i="12"/>
  <c r="AJ52" i="12" s="1"/>
  <c r="AB33" i="12"/>
  <c r="AD32" i="12"/>
  <c r="AB34" i="9"/>
  <c r="AD33" i="9"/>
  <c r="Z36" i="9"/>
  <c r="AO53" i="9"/>
  <c r="AJ53" i="9" s="1"/>
  <c r="AN52" i="9"/>
  <c r="AL52" i="9"/>
  <c r="AJ52" i="9"/>
  <c r="X35" i="12" l="1"/>
  <c r="X36" i="12" s="1"/>
  <c r="V36" i="12"/>
  <c r="Z35" i="12"/>
  <c r="Z36" i="12" s="1"/>
  <c r="AB34" i="12"/>
  <c r="AD33" i="12"/>
  <c r="AO53" i="12"/>
  <c r="AL52" i="12"/>
  <c r="AN52" i="12"/>
  <c r="AB35" i="9"/>
  <c r="AD35" i="9" s="1"/>
  <c r="AD34" i="9"/>
  <c r="AO55" i="9"/>
  <c r="AL53" i="9"/>
  <c r="AN53" i="9"/>
  <c r="AO55" i="12" l="1"/>
  <c r="AN53" i="12"/>
  <c r="AL53" i="12"/>
  <c r="AD34" i="12"/>
  <c r="AB35" i="12"/>
  <c r="AJ53" i="12"/>
  <c r="AD36" i="9"/>
  <c r="AD35" i="12" l="1"/>
  <c r="AD36" i="12" s="1"/>
  <c r="AB36" i="12"/>
  <c r="J13" i="9"/>
  <c r="AB36" i="9" l="1"/>
</calcChain>
</file>

<file path=xl/sharedStrings.xml><?xml version="1.0" encoding="utf-8"?>
<sst xmlns="http://schemas.openxmlformats.org/spreadsheetml/2006/main" count="362" uniqueCount="106">
  <si>
    <t>Gas</t>
  </si>
  <si>
    <t>Diesel</t>
  </si>
  <si>
    <t>Total</t>
  </si>
  <si>
    <t>Increase per Gallon</t>
  </si>
  <si>
    <t>MPG</t>
  </si>
  <si>
    <t>Gasoline</t>
  </si>
  <si>
    <t>Special</t>
  </si>
  <si>
    <t>Gallons (millions)</t>
  </si>
  <si>
    <t>Year</t>
  </si>
  <si>
    <t>Fee per Gallon</t>
  </si>
  <si>
    <t>Federal Highway Trust Fund Revenue (millions)</t>
  </si>
  <si>
    <t>Less FET</t>
  </si>
  <si>
    <t>Net</t>
  </si>
  <si>
    <t>Est households in the US (millions)</t>
  </si>
  <si>
    <t>Total cost of additional gasoline  GBUF</t>
  </si>
  <si>
    <t>Est cost per household</t>
  </si>
  <si>
    <t>Miles</t>
  </si>
  <si>
    <t>Cost</t>
  </si>
  <si>
    <t>Net Additional Revenue to HTF</t>
  </si>
  <si>
    <t>Hybrids</t>
  </si>
  <si>
    <t>EVs</t>
  </si>
  <si>
    <t>Adoption Rate</t>
  </si>
  <si>
    <t>Year 1</t>
  </si>
  <si>
    <t>Year 2</t>
  </si>
  <si>
    <t>Year 3</t>
  </si>
  <si>
    <t>Year 4</t>
  </si>
  <si>
    <t>Year 5</t>
  </si>
  <si>
    <t>Year 6</t>
  </si>
  <si>
    <t>Year 7</t>
  </si>
  <si>
    <t>Year 8</t>
  </si>
  <si>
    <t>Year 9</t>
  </si>
  <si>
    <t>Year 10</t>
  </si>
  <si>
    <t>n/a</t>
  </si>
  <si>
    <t>%</t>
  </si>
  <si>
    <t>Cur. GBUF (fee per gallon / # of gallons)</t>
  </si>
  <si>
    <t>Additional (user fee per gallon / revenue)</t>
  </si>
  <si>
    <t>Annual Passenger Vehicle Revenue</t>
  </si>
  <si>
    <t>Revenue from EVs</t>
  </si>
  <si>
    <t>Revenue from Hybrids</t>
  </si>
  <si>
    <t>Revenue from GBUF vehicles</t>
  </si>
  <si>
    <t>(EV vs HV)</t>
  </si>
  <si>
    <t>Total with no adoption change (Year 1*10)</t>
  </si>
  <si>
    <t>HVs</t>
  </si>
  <si>
    <t>Estimated Miles per Vehicle</t>
  </si>
  <si>
    <t>Mpg</t>
  </si>
  <si>
    <t>MPV</t>
  </si>
  <si>
    <t>Passenger Vehicle Registration  (millions)</t>
  </si>
  <si>
    <t>YR 1</t>
  </si>
  <si>
    <t>YR 2</t>
  </si>
  <si>
    <t>YR 3</t>
  </si>
  <si>
    <t>YR4</t>
  </si>
  <si>
    <t>YR5</t>
  </si>
  <si>
    <t>YR 6</t>
  </si>
  <si>
    <t>YR 7</t>
  </si>
  <si>
    <t>YR 8</t>
  </si>
  <si>
    <t>YR 9</t>
  </si>
  <si>
    <t>YR 10</t>
  </si>
  <si>
    <t>Average diesel gallons have been consistent for the past 4 years.  Projected gallons are based on assumption that improvements in mpg will offset additional gallons needed for economic growth.</t>
  </si>
  <si>
    <t>Projected Total</t>
  </si>
  <si>
    <t>Adjusted Total Revenue to HTF</t>
  </si>
  <si>
    <t>Total Revenue to HTF</t>
  </si>
  <si>
    <t>Actual Gallons FHA Motor Fuel Tax Dashboard</t>
  </si>
  <si>
    <t>GBUF Increase</t>
  </si>
  <si>
    <t>Repeal of Federal Excise Tax</t>
  </si>
  <si>
    <t>Highway Trust Fund Revenue Analysis 2020 -2014 with Retro GBUF increase Adjusted for Inflation and addition of New Annual Electric Vehicle Registration Fee</t>
  </si>
  <si>
    <t>Indexed for Inflation Cap</t>
  </si>
  <si>
    <t xml:space="preserve">Adjusted 5 YR Total Revenue  </t>
  </si>
  <si>
    <t>With FET</t>
  </si>
  <si>
    <t>With FET Repealed</t>
  </si>
  <si>
    <t>Revenue (millions)</t>
  </si>
  <si>
    <t>Total (millions)</t>
  </si>
  <si>
    <t>Annual Registration User Fees (millions)</t>
  </si>
  <si>
    <t>Federal Excise Tax (millions)</t>
  </si>
  <si>
    <t>No Increases</t>
  </si>
  <si>
    <t>Additional Revenue per Year</t>
  </si>
  <si>
    <t>GBUF Average Additional Annual Cost per Diesel Tractor</t>
  </si>
  <si>
    <t>Projected Highway Trust Fund Revenue with GBUF Adjusted for Inflation and addition of New Annual Electric Vehicle Registration Fee</t>
  </si>
  <si>
    <t>Additional revenue with conversion to EV</t>
  </si>
  <si>
    <t>Gallons</t>
  </si>
  <si>
    <t>Cents/Gal</t>
  </si>
  <si>
    <t>GBUF annual cost per year per vehicle</t>
  </si>
  <si>
    <t>Total GBUF annual revenue</t>
  </si>
  <si>
    <t>Cost per Vehicle based on Mileage and MPG</t>
  </si>
  <si>
    <t>Total 2024 passanger gas vehicles (millions)</t>
  </si>
  <si>
    <t>GBUF Average Annual Increase per Passenger Vehicle (Gasoline Only)</t>
  </si>
  <si>
    <t>GBUF Average Annual Increase per Household (Gas Only)</t>
  </si>
  <si>
    <t>Number of Vehicles (millions)</t>
  </si>
  <si>
    <t xml:space="preserve">Estimate of adoption rate between EVs and HVs </t>
  </si>
  <si>
    <t>The calculation assumes zero net annual additions/deletions.</t>
  </si>
  <si>
    <t xml:space="preserve">Additional Annual Revenue to HTF Adjusted for Inflation (millions) </t>
  </si>
  <si>
    <t>GBUF Average Annual Increase per passenger vehicle based on 2024  gallons (Gas Only)</t>
  </si>
  <si>
    <t>Analysis on the Impact to the HTF based on EV Adoption</t>
  </si>
  <si>
    <t>Additional footnotes:</t>
  </si>
  <si>
    <t>Analysis on the Impact to the HTF based on Increasing MPG</t>
  </si>
  <si>
    <t xml:space="preserve">Per Model </t>
  </si>
  <si>
    <t>Revenue</t>
  </si>
  <si>
    <t>Gasoline (columns G-H, lines 26-35)</t>
  </si>
  <si>
    <t>Loss in Revenue</t>
  </si>
  <si>
    <t>Adjusted for Improvement in MPG</t>
  </si>
  <si>
    <t>Miles (millions)</t>
  </si>
  <si>
    <t>Diesel (gallons are projected at 4 year avg)</t>
  </si>
  <si>
    <t>Projected</t>
  </si>
  <si>
    <t>Increase</t>
  </si>
  <si>
    <t>Total 2024 passenger gas vehicles (millions)</t>
  </si>
  <si>
    <t>A 2% annual improvement in mpg over 10 years would decrease funding by $43.7 billion, with a $6.7 billion decrease in year 10.</t>
  </si>
  <si>
    <t>A 2% annual improvement in mpg over 10 years would decrease funding by $78.5 billion, with a $9.3 billion decrease in year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</si>
</sst>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 #,##0_);_(* \(#,##0\);_(* &quot;-&quot;??_);_(@_)"/>
    <numFmt numFmtId="165" formatCode="0.000"/>
    <numFmt numFmtId="166" formatCode="_(* #,##0.0_);_(* \(#,##0.0\);_(* &quot;-&quot;??_);_(@_)"/>
    <numFmt numFmtId="167" formatCode="_(&quot;$&quot;* #,##0_);_(&quot;$&quot;* \(#,##0\);_(&quot;$&quot;* &quot;-&quot;??_);_(@_)"/>
    <numFmt numFmtId="168" formatCode="_(* #,##0.00_);_(* \(#,##0.00\);_(* &quot;-&quot;?_);_(@_)"/>
    <numFmt numFmtId="169" formatCode="0.0"/>
    <numFmt numFmtId="170" formatCode="_(* #,##0.000_);_(* \(#,##0.000\);_(* &quot;-&quot;??_);_(@_)"/>
    <numFmt numFmtId="171" formatCode="0.0%"/>
    <numFmt numFmtId="172" formatCode="_(* #,##0_);_(* \(#,##0\);_(* &quot;-&quot;?_);_(@_)"/>
    <numFmt numFmtId="174" formatCode="_(* #,##0.0_);_(* \(#,##0.0\);_(* &quot;-&quot;?_);_(@_)"/>
  </numFmts>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1"/>
      <name val="Aptos Narrow"/>
      <family val="2"/>
      <scheme val="minor"/>
    </font>
    <font>
      <b/>
      <sz val="10"/>
      <color theme="1"/>
      <name val="Aptos Narrow"/>
      <family val="2"/>
      <scheme val="minor"/>
    </font>
    <font>
      <sz val="10"/>
      <color theme="1"/>
      <name val="Aptos Narrow"/>
      <family val="2"/>
      <scheme val="minor"/>
    </font>
    <font>
      <b/>
      <sz val="11"/>
      <color rgb="FFFF0000"/>
      <name val="Aptos Narrow"/>
      <family val="2"/>
      <scheme val="minor"/>
    </font>
    <font>
      <sz val="8"/>
      <color theme="1"/>
      <name val="Aptos Narrow"/>
      <family val="2"/>
      <scheme val="minor"/>
    </font>
    <font>
      <b/>
      <sz val="8"/>
      <name val="Aptos Narrow"/>
      <family val="2"/>
      <scheme val="minor"/>
    </font>
    <font>
      <sz val="11"/>
      <name val="Aptos Narrow"/>
      <family val="2"/>
      <scheme val="minor"/>
    </font>
    <font>
      <b/>
      <sz val="18"/>
      <color rgb="FF000000"/>
      <name val="Aptos Narrow"/>
      <family val="2"/>
      <scheme val="minor"/>
    </font>
    <font>
      <b/>
      <sz val="18"/>
      <color theme="1"/>
      <name val="Aptos Narrow"/>
      <family val="2"/>
      <scheme val="minor"/>
    </font>
    <font>
      <b/>
      <sz val="10"/>
      <color rgb="FFFF0000"/>
      <name val="Aptos Narrow"/>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2"/>
        <bgColor indexed="64"/>
      </patternFill>
    </fill>
  </fills>
  <borders count="153">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auto="1"/>
      </right>
      <top/>
      <bottom style="thin">
        <color auto="1"/>
      </bottom>
      <diagonal/>
    </border>
    <border>
      <left/>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medium">
        <color auto="1"/>
      </top>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top/>
      <bottom style="thick">
        <color theme="3" tint="0.24994659260841701"/>
      </bottom>
      <diagonal/>
    </border>
    <border>
      <left/>
      <right/>
      <top/>
      <bottom style="thick">
        <color theme="3" tint="0.24994659260841701"/>
      </bottom>
      <diagonal/>
    </border>
    <border>
      <left/>
      <right style="thick">
        <color theme="3" tint="0.24994659260841701"/>
      </right>
      <top/>
      <bottom style="thick">
        <color theme="3" tint="0.24994659260841701"/>
      </bottom>
      <diagonal/>
    </border>
    <border>
      <left style="thin">
        <color auto="1"/>
      </left>
      <right/>
      <top/>
      <bottom style="medium">
        <color auto="1"/>
      </bottom>
      <diagonal/>
    </border>
    <border>
      <left/>
      <right style="thin">
        <color indexed="64"/>
      </right>
      <top style="thin">
        <color indexed="64"/>
      </top>
      <bottom style="thin">
        <color indexed="64"/>
      </bottom>
      <diagonal/>
    </border>
    <border>
      <left style="thin">
        <color auto="1"/>
      </left>
      <right style="medium">
        <color auto="1"/>
      </right>
      <top style="thin">
        <color auto="1"/>
      </top>
      <bottom/>
      <diagonal/>
    </border>
    <border>
      <left style="thick">
        <color rgb="FF0070C0"/>
      </left>
      <right style="thick">
        <color rgb="FF0070C0"/>
      </right>
      <top style="thick">
        <color rgb="FF0070C0"/>
      </top>
      <bottom style="thick">
        <color rgb="FF0070C0"/>
      </bottom>
      <diagonal/>
    </border>
    <border>
      <left/>
      <right style="thick">
        <color auto="1"/>
      </right>
      <top/>
      <bottom/>
      <diagonal/>
    </border>
    <border>
      <left/>
      <right style="thick">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theme="1"/>
      </left>
      <right style="thin">
        <color theme="1"/>
      </right>
      <top/>
      <bottom/>
      <diagonal/>
    </border>
    <border>
      <left style="thin">
        <color theme="1"/>
      </left>
      <right style="thin">
        <color theme="1"/>
      </right>
      <top/>
      <bottom style="thin">
        <color auto="1"/>
      </bottom>
      <diagonal/>
    </border>
    <border>
      <left style="thin">
        <color theme="1"/>
      </left>
      <right style="thin">
        <color theme="1"/>
      </right>
      <top style="thin">
        <color theme="1"/>
      </top>
      <bottom style="thin">
        <color auto="1"/>
      </bottom>
      <diagonal/>
    </border>
    <border>
      <left style="thin">
        <color theme="1"/>
      </left>
      <right style="thin">
        <color theme="1"/>
      </right>
      <top style="thin">
        <color theme="1"/>
      </top>
      <bottom style="thin">
        <color theme="1"/>
      </bottom>
      <diagonal/>
    </border>
    <border>
      <left style="thin">
        <color auto="1"/>
      </left>
      <right/>
      <top style="medium">
        <color auto="1"/>
      </top>
      <bottom/>
      <diagonal/>
    </border>
    <border>
      <left style="thin">
        <color auto="1"/>
      </left>
      <right style="thin">
        <color auto="1"/>
      </right>
      <top style="medium">
        <color auto="1"/>
      </top>
      <bottom/>
      <diagonal/>
    </border>
    <border>
      <left style="thick">
        <color rgb="FF0070C0"/>
      </left>
      <right style="thick">
        <color rgb="FF0070C0"/>
      </right>
      <top/>
      <bottom style="thin">
        <color auto="1"/>
      </bottom>
      <diagonal/>
    </border>
    <border>
      <left style="thin">
        <color auto="1"/>
      </left>
      <right style="thin">
        <color theme="1"/>
      </right>
      <top/>
      <bottom style="thin">
        <color indexed="64"/>
      </bottom>
      <diagonal/>
    </border>
    <border>
      <left style="thick">
        <color auto="1"/>
      </left>
      <right style="thick">
        <color auto="1"/>
      </right>
      <top style="thick">
        <color auto="1"/>
      </top>
      <bottom style="thick">
        <color auto="1"/>
      </bottom>
      <diagonal/>
    </border>
    <border>
      <left style="thin">
        <color auto="1"/>
      </left>
      <right style="thin">
        <color auto="1"/>
      </right>
      <top/>
      <bottom style="thick">
        <color rgb="FF0070C0"/>
      </bottom>
      <diagonal/>
    </border>
    <border>
      <left style="thick">
        <color rgb="FF0070C0"/>
      </left>
      <right/>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ck">
        <color rgb="FF0070C0"/>
      </left>
      <right style="medium">
        <color auto="1"/>
      </right>
      <top style="thick">
        <color rgb="FF0070C0"/>
      </top>
      <bottom style="thick">
        <color rgb="FF0070C0"/>
      </bottom>
      <diagonal/>
    </border>
    <border>
      <left/>
      <right style="medium">
        <color auto="1"/>
      </right>
      <top style="thin">
        <color auto="1"/>
      </top>
      <bottom/>
      <diagonal/>
    </border>
    <border>
      <left style="medium">
        <color auto="1"/>
      </left>
      <right/>
      <top style="thin">
        <color auto="1"/>
      </top>
      <bottom/>
      <diagonal/>
    </border>
    <border>
      <left style="medium">
        <color auto="1"/>
      </left>
      <right style="medium">
        <color auto="1"/>
      </right>
      <top/>
      <bottom style="medium">
        <color auto="1"/>
      </bottom>
      <diagonal/>
    </border>
    <border>
      <left style="thin">
        <color theme="1"/>
      </left>
      <right style="thin">
        <color theme="1"/>
      </right>
      <top style="thin">
        <color auto="1"/>
      </top>
      <bottom style="thin">
        <color indexed="64"/>
      </bottom>
      <diagonal/>
    </border>
    <border>
      <left/>
      <right/>
      <top style="thick">
        <color auto="1"/>
      </top>
      <bottom/>
      <diagonal/>
    </border>
    <border>
      <left/>
      <right style="thin">
        <color auto="1"/>
      </right>
      <top/>
      <bottom style="thick">
        <color rgb="FF0070C0"/>
      </bottom>
      <diagonal/>
    </border>
    <border>
      <left style="medium">
        <color auto="1"/>
      </left>
      <right style="medium">
        <color auto="1"/>
      </right>
      <top style="medium">
        <color auto="1"/>
      </top>
      <bottom/>
      <diagonal/>
    </border>
    <border>
      <left style="thin">
        <color auto="1"/>
      </left>
      <right style="thin">
        <color theme="1"/>
      </right>
      <top style="thin">
        <color auto="1"/>
      </top>
      <bottom style="thin">
        <color indexed="64"/>
      </bottom>
      <diagonal/>
    </border>
    <border>
      <left/>
      <right style="thick">
        <color auto="1"/>
      </right>
      <top style="thick">
        <color auto="1"/>
      </top>
      <bottom/>
      <diagonal/>
    </border>
    <border>
      <left style="medium">
        <color auto="1"/>
      </left>
      <right style="thin">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thick">
        <color rgb="FF0070C0"/>
      </right>
      <top style="thick">
        <color rgb="FF0070C0"/>
      </top>
      <bottom style="thick">
        <color rgb="FF0070C0"/>
      </bottom>
      <diagonal/>
    </border>
    <border>
      <left/>
      <right style="thin">
        <color auto="1"/>
      </right>
      <top/>
      <bottom style="medium">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medium">
        <color auto="1"/>
      </left>
      <right style="thick">
        <color auto="1"/>
      </right>
      <top/>
      <bottom/>
      <diagonal/>
    </border>
    <border>
      <left style="medium">
        <color auto="1"/>
      </left>
      <right style="thick">
        <color auto="1"/>
      </right>
      <top/>
      <bottom style="medium">
        <color auto="1"/>
      </bottom>
      <diagonal/>
    </border>
    <border>
      <left style="thick">
        <color auto="1"/>
      </left>
      <right style="thick">
        <color auto="1"/>
      </right>
      <top/>
      <bottom style="medium">
        <color auto="1"/>
      </bottom>
      <diagonal/>
    </border>
    <border>
      <left style="thick">
        <color auto="1"/>
      </left>
      <right style="thick">
        <color auto="1"/>
      </right>
      <top/>
      <bottom/>
      <diagonal/>
    </border>
    <border>
      <left style="thick">
        <color auto="1"/>
      </left>
      <right style="thick">
        <color auto="1"/>
      </right>
      <top style="medium">
        <color auto="1"/>
      </top>
      <bottom/>
      <diagonal/>
    </border>
    <border>
      <left style="thick">
        <color auto="1"/>
      </left>
      <right style="thick">
        <color auto="1"/>
      </right>
      <top style="thin">
        <color auto="1"/>
      </top>
      <bottom/>
      <diagonal/>
    </border>
    <border>
      <left style="medium">
        <color theme="1"/>
      </left>
      <right/>
      <top style="medium">
        <color theme="1"/>
      </top>
      <bottom style="thick">
        <color rgb="FF0070C0"/>
      </bottom>
      <diagonal/>
    </border>
    <border>
      <left/>
      <right style="medium">
        <color theme="1"/>
      </right>
      <top style="medium">
        <color theme="1"/>
      </top>
      <bottom style="thick">
        <color rgb="FF0070C0"/>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medium">
        <color auto="1"/>
      </bottom>
      <diagonal/>
    </border>
    <border>
      <left style="thick">
        <color auto="1"/>
      </left>
      <right style="thick">
        <color auto="1"/>
      </right>
      <top/>
      <bottom style="thick">
        <color rgb="FF0070C0"/>
      </bottom>
      <diagonal/>
    </border>
    <border>
      <left/>
      <right style="thick">
        <color auto="1"/>
      </right>
      <top style="medium">
        <color auto="1"/>
      </top>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top style="medium">
        <color auto="1"/>
      </top>
      <bottom style="medium">
        <color auto="1"/>
      </bottom>
      <diagonal/>
    </border>
    <border>
      <left style="thick">
        <color rgb="FF0070C0"/>
      </left>
      <right style="thick">
        <color rgb="FF0070C0"/>
      </right>
      <top style="medium">
        <color auto="1"/>
      </top>
      <bottom style="medium">
        <color auto="1"/>
      </bottom>
      <diagonal/>
    </border>
    <border>
      <left/>
      <right style="thick">
        <color rgb="FF0070C0"/>
      </right>
      <top style="medium">
        <color auto="1"/>
      </top>
      <bottom style="medium">
        <color auto="1"/>
      </bottom>
      <diagonal/>
    </border>
    <border>
      <left style="medium">
        <color auto="1"/>
      </left>
      <right style="medium">
        <color auto="1"/>
      </right>
      <top/>
      <bottom style="thin">
        <color indexed="64"/>
      </bottom>
      <diagonal/>
    </border>
    <border>
      <left style="thick">
        <color theme="3" tint="0.499984740745262"/>
      </left>
      <right style="thin">
        <color auto="1"/>
      </right>
      <top/>
      <bottom/>
      <diagonal/>
    </border>
    <border>
      <left/>
      <right style="thick">
        <color theme="3" tint="0.499984740745262"/>
      </right>
      <top/>
      <bottom style="thin">
        <color auto="1"/>
      </bottom>
      <diagonal/>
    </border>
    <border>
      <left style="thick">
        <color theme="3" tint="0.499984740745262"/>
      </left>
      <right/>
      <top/>
      <bottom style="thin">
        <color auto="1"/>
      </bottom>
      <diagonal/>
    </border>
    <border>
      <left style="thin">
        <color theme="1"/>
      </left>
      <right style="thick">
        <color theme="3" tint="0.499984740745262"/>
      </right>
      <top style="thin">
        <color auto="1"/>
      </top>
      <bottom style="thin">
        <color auto="1"/>
      </bottom>
      <diagonal/>
    </border>
    <border>
      <left style="thick">
        <color theme="3" tint="0.499984740745262"/>
      </left>
      <right style="thin">
        <color auto="1"/>
      </right>
      <top style="thin">
        <color auto="1"/>
      </top>
      <bottom/>
      <diagonal/>
    </border>
    <border>
      <left style="thick">
        <color theme="3" tint="0.499984740745262"/>
      </left>
      <right style="thin">
        <color auto="1"/>
      </right>
      <top/>
      <bottom style="thin">
        <color auto="1"/>
      </bottom>
      <diagonal/>
    </border>
    <border>
      <left style="thin">
        <color theme="1"/>
      </left>
      <right style="thick">
        <color theme="3" tint="0.499984740745262"/>
      </right>
      <top/>
      <bottom style="thin">
        <color auto="1"/>
      </bottom>
      <diagonal/>
    </border>
    <border>
      <left/>
      <right style="thick">
        <color theme="3" tint="0.499984740745262"/>
      </right>
      <top/>
      <bottom/>
      <diagonal/>
    </border>
    <border>
      <left style="thick">
        <color theme="3" tint="0.499984740745262"/>
      </left>
      <right/>
      <top/>
      <bottom style="medium">
        <color auto="1"/>
      </bottom>
      <diagonal/>
    </border>
    <border>
      <left style="thick">
        <color theme="3" tint="0.499984740745262"/>
      </left>
      <right/>
      <top/>
      <bottom/>
      <diagonal/>
    </border>
    <border>
      <left style="thick">
        <color theme="3" tint="0.499984740745262"/>
      </left>
      <right style="thin">
        <color auto="1"/>
      </right>
      <top style="medium">
        <color auto="1"/>
      </top>
      <bottom/>
      <diagonal/>
    </border>
    <border>
      <left style="thin">
        <color auto="1"/>
      </left>
      <right style="thick">
        <color theme="3" tint="0.499984740745262"/>
      </right>
      <top style="medium">
        <color auto="1"/>
      </top>
      <bottom/>
      <diagonal/>
    </border>
    <border>
      <left style="thin">
        <color auto="1"/>
      </left>
      <right style="thick">
        <color theme="3" tint="0.499984740745262"/>
      </right>
      <top/>
      <bottom/>
      <diagonal/>
    </border>
    <border>
      <left style="thick">
        <color theme="3" tint="0.499984740745262"/>
      </left>
      <right style="thin">
        <color auto="1"/>
      </right>
      <top/>
      <bottom style="medium">
        <color auto="1"/>
      </bottom>
      <diagonal/>
    </border>
    <border>
      <left style="thin">
        <color auto="1"/>
      </left>
      <right style="thick">
        <color theme="3" tint="0.499984740745262"/>
      </right>
      <top/>
      <bottom style="medium">
        <color auto="1"/>
      </bottom>
      <diagonal/>
    </border>
    <border>
      <left style="thick">
        <color theme="3" tint="0.499984740745262"/>
      </left>
      <right/>
      <top style="medium">
        <color auto="1"/>
      </top>
      <bottom style="medium">
        <color auto="1"/>
      </bottom>
      <diagonal/>
    </border>
    <border>
      <left style="medium">
        <color auto="1"/>
      </left>
      <right style="thick">
        <color theme="3" tint="0.499984740745262"/>
      </right>
      <top style="medium">
        <color auto="1"/>
      </top>
      <bottom style="medium">
        <color auto="1"/>
      </bottom>
      <diagonal/>
    </border>
    <border>
      <left style="medium">
        <color auto="1"/>
      </left>
      <right style="thick">
        <color theme="3" tint="0.499984740745262"/>
      </right>
      <top/>
      <bottom style="medium">
        <color auto="1"/>
      </bottom>
      <diagonal/>
    </border>
    <border>
      <left style="thick">
        <color theme="3" tint="0.499984740745262"/>
      </left>
      <right/>
      <top style="medium">
        <color auto="1"/>
      </top>
      <bottom style="thick">
        <color theme="3" tint="0.499984740745262"/>
      </bottom>
      <diagonal/>
    </border>
    <border>
      <left/>
      <right/>
      <top style="medium">
        <color auto="1"/>
      </top>
      <bottom style="thick">
        <color theme="3" tint="0.499984740745262"/>
      </bottom>
      <diagonal/>
    </border>
    <border>
      <left style="medium">
        <color auto="1"/>
      </left>
      <right style="thick">
        <color theme="3" tint="0.499984740745262"/>
      </right>
      <top style="medium">
        <color auto="1"/>
      </top>
      <bottom style="thick">
        <color theme="3" tint="0.499984740745262"/>
      </bottom>
      <diagonal/>
    </border>
    <border>
      <left/>
      <right style="thin">
        <color theme="1"/>
      </right>
      <top style="thin">
        <color auto="1"/>
      </top>
      <bottom style="thin">
        <color auto="1"/>
      </bottom>
      <diagonal/>
    </border>
    <border>
      <left style="thick">
        <color theme="3" tint="0.499984740745262"/>
      </left>
      <right/>
      <top style="thin">
        <color auto="1"/>
      </top>
      <bottom/>
      <diagonal/>
    </border>
    <border>
      <left style="thick">
        <color theme="3" tint="0.499984740745262"/>
      </left>
      <right style="thick">
        <color theme="3" tint="0.499984740745262"/>
      </right>
      <top style="thick">
        <color theme="3" tint="0.499984740745262"/>
      </top>
      <bottom/>
      <diagonal/>
    </border>
    <border>
      <left style="thick">
        <color theme="3" tint="0.499984740745262"/>
      </left>
      <right style="thick">
        <color theme="3" tint="0.499984740745262"/>
      </right>
      <top/>
      <bottom style="thick">
        <color theme="3" tint="0.499984740745262"/>
      </bottom>
      <diagonal/>
    </border>
    <border>
      <left style="thick">
        <color theme="3" tint="0.499984740745262"/>
      </left>
      <right/>
      <top style="thick">
        <color theme="3" tint="0.499984740745262"/>
      </top>
      <bottom style="medium">
        <color auto="1"/>
      </bottom>
      <diagonal/>
    </border>
    <border>
      <left/>
      <right/>
      <top style="thick">
        <color theme="3" tint="0.499984740745262"/>
      </top>
      <bottom style="medium">
        <color auto="1"/>
      </bottom>
      <diagonal/>
    </border>
    <border>
      <left/>
      <right style="thick">
        <color theme="3" tint="0.499984740745262"/>
      </right>
      <top style="thick">
        <color theme="3" tint="0.499984740745262"/>
      </top>
      <bottom style="medium">
        <color auto="1"/>
      </bottom>
      <diagonal/>
    </border>
    <border>
      <left/>
      <right style="thick">
        <color rgb="FF0070C0"/>
      </right>
      <top style="thick">
        <color rgb="FF0070C0"/>
      </top>
      <bottom style="thick">
        <color rgb="FF0070C0"/>
      </bottom>
      <diagonal/>
    </border>
    <border>
      <left style="thin">
        <color auto="1"/>
      </left>
      <right style="thin">
        <color auto="1"/>
      </right>
      <top/>
      <bottom style="thick">
        <color theme="3" tint="0.499984740745262"/>
      </bottom>
      <diagonal/>
    </border>
    <border>
      <left style="thick">
        <color theme="3" tint="0.499984740745262"/>
      </left>
      <right style="thin">
        <color auto="1"/>
      </right>
      <top style="thin">
        <color auto="1"/>
      </top>
      <bottom style="thin">
        <color auto="1"/>
      </bottom>
      <diagonal/>
    </border>
    <border>
      <left style="thick">
        <color theme="3" tint="0.499984740745262"/>
      </left>
      <right/>
      <top style="thick">
        <color theme="3" tint="0.499984740745262"/>
      </top>
      <bottom style="thick">
        <color theme="3" tint="0.499984740745262"/>
      </bottom>
      <diagonal/>
    </border>
    <border>
      <left/>
      <right/>
      <top style="thick">
        <color theme="3" tint="0.499984740745262"/>
      </top>
      <bottom style="thick">
        <color theme="3" tint="0.499984740745262"/>
      </bottom>
      <diagonal/>
    </border>
    <border>
      <left/>
      <right style="thick">
        <color theme="3" tint="0.499984740745262"/>
      </right>
      <top style="thick">
        <color theme="3" tint="0.499984740745262"/>
      </top>
      <bottom style="thick">
        <color theme="3" tint="0.499984740745262"/>
      </bottom>
      <diagonal/>
    </border>
    <border>
      <left style="medium">
        <color auto="1"/>
      </left>
      <right style="thick">
        <color theme="3" tint="0.499984740745262"/>
      </right>
      <top style="medium">
        <color auto="1"/>
      </top>
      <bottom/>
      <diagonal/>
    </border>
    <border>
      <left style="medium">
        <color auto="1"/>
      </left>
      <right style="thick">
        <color theme="3" tint="0.499984740745262"/>
      </right>
      <top/>
      <bottom/>
      <diagonal/>
    </border>
    <border>
      <left style="medium">
        <color auto="1"/>
      </left>
      <right style="thick">
        <color theme="3" tint="0.499984740745262"/>
      </right>
      <top/>
      <bottom style="thin">
        <color indexed="64"/>
      </bottom>
      <diagonal/>
    </border>
    <border>
      <left/>
      <right style="medium">
        <color auto="1"/>
      </right>
      <top style="medium">
        <color auto="1"/>
      </top>
      <bottom style="thick">
        <color theme="3" tint="0.499984740745262"/>
      </bottom>
      <diagonal/>
    </border>
    <border>
      <left/>
      <right style="thick">
        <color theme="3" tint="0.499984740745262"/>
      </right>
      <top style="medium">
        <color auto="1"/>
      </top>
      <bottom style="thick">
        <color theme="3" tint="0.499984740745262"/>
      </bottom>
      <diagonal/>
    </border>
    <border>
      <left style="thick">
        <color theme="3" tint="0.499984740745262"/>
      </left>
      <right style="medium">
        <color auto="1"/>
      </right>
      <top style="thin">
        <color auto="1"/>
      </top>
      <bottom/>
      <diagonal/>
    </border>
    <border>
      <left style="thick">
        <color theme="3" tint="0.499984740745262"/>
      </left>
      <right style="medium">
        <color auto="1"/>
      </right>
      <top style="thin">
        <color auto="1"/>
      </top>
      <bottom style="thin">
        <color auto="1"/>
      </bottom>
      <diagonal/>
    </border>
    <border>
      <left style="thick">
        <color theme="7"/>
      </left>
      <right style="medium">
        <color auto="1"/>
      </right>
      <top style="medium">
        <color auto="1"/>
      </top>
      <bottom/>
      <diagonal/>
    </border>
    <border>
      <left style="thick">
        <color theme="7"/>
      </left>
      <right style="medium">
        <color auto="1"/>
      </right>
      <top/>
      <bottom/>
      <diagonal/>
    </border>
    <border>
      <left style="thick">
        <color theme="7"/>
      </left>
      <right style="medium">
        <color auto="1"/>
      </right>
      <top/>
      <bottom style="thin">
        <color auto="1"/>
      </bottom>
      <diagonal/>
    </border>
    <border>
      <left style="thin">
        <color auto="1"/>
      </left>
      <right style="thin">
        <color auto="1"/>
      </right>
      <top style="medium">
        <color auto="1"/>
      </top>
      <bottom style="thick">
        <color theme="3" tint="0.499984740745262"/>
      </bottom>
      <diagonal/>
    </border>
    <border>
      <left style="thick">
        <color theme="3" tint="0.499984740745262"/>
      </left>
      <right style="medium">
        <color auto="1"/>
      </right>
      <top style="thin">
        <color auto="1"/>
      </top>
      <bottom style="medium">
        <color auto="1"/>
      </bottom>
      <diagonal/>
    </border>
    <border>
      <left style="thick">
        <color theme="3" tint="0.499984740745262"/>
      </left>
      <right style="medium">
        <color auto="1"/>
      </right>
      <top style="medium">
        <color auto="1"/>
      </top>
      <bottom style="thick">
        <color theme="3" tint="0.499984740745262"/>
      </bottom>
      <diagonal/>
    </border>
    <border>
      <left/>
      <right style="thin">
        <color auto="1"/>
      </right>
      <top style="medium">
        <color auto="1"/>
      </top>
      <bottom style="thick">
        <color theme="3" tint="0.499984740745262"/>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91">
    <xf numFmtId="0" fontId="0" fillId="0" borderId="0" xfId="0"/>
    <xf numFmtId="164" fontId="0" fillId="0" borderId="0" xfId="1" applyNumberFormat="1" applyFont="1" applyBorder="1"/>
    <xf numFmtId="164" fontId="0" fillId="0" borderId="8" xfId="1" applyNumberFormat="1" applyFont="1" applyBorder="1"/>
    <xf numFmtId="166" fontId="0" fillId="0" borderId="8" xfId="0" applyNumberFormat="1" applyBorder="1"/>
    <xf numFmtId="166" fontId="0" fillId="0" borderId="0" xfId="0" applyNumberFormat="1"/>
    <xf numFmtId="0" fontId="3" fillId="0" borderId="0" xfId="0" applyFont="1"/>
    <xf numFmtId="166" fontId="0" fillId="0" borderId="3" xfId="1" applyNumberFormat="1" applyFont="1" applyBorder="1"/>
    <xf numFmtId="166" fontId="0" fillId="0" borderId="3" xfId="0" applyNumberFormat="1" applyBorder="1"/>
    <xf numFmtId="166" fontId="0" fillId="0" borderId="14" xfId="0" applyNumberFormat="1" applyBorder="1"/>
    <xf numFmtId="0" fontId="0" fillId="0" borderId="0" xfId="0" applyAlignment="1">
      <alignment horizontal="center"/>
    </xf>
    <xf numFmtId="166" fontId="0" fillId="0" borderId="0" xfId="1" applyNumberFormat="1" applyFont="1" applyBorder="1"/>
    <xf numFmtId="164" fontId="0" fillId="0" borderId="23" xfId="1" applyNumberFormat="1" applyFont="1" applyBorder="1"/>
    <xf numFmtId="166" fontId="0" fillId="0" borderId="22" xfId="1" applyNumberFormat="1" applyFont="1" applyBorder="1"/>
    <xf numFmtId="166" fontId="0" fillId="0" borderId="23" xfId="1" applyNumberFormat="1" applyFont="1" applyBorder="1"/>
    <xf numFmtId="166" fontId="0" fillId="0" borderId="24" xfId="1" applyNumberFormat="1" applyFont="1" applyBorder="1"/>
    <xf numFmtId="166" fontId="0" fillId="0" borderId="26" xfId="1" applyNumberFormat="1" applyFont="1" applyBorder="1"/>
    <xf numFmtId="166" fontId="0" fillId="0" borderId="34" xfId="0" applyNumberFormat="1" applyBorder="1"/>
    <xf numFmtId="166" fontId="0" fillId="0" borderId="22" xfId="0" applyNumberFormat="1" applyBorder="1"/>
    <xf numFmtId="166" fontId="0" fillId="0" borderId="24" xfId="0" applyNumberFormat="1" applyBorder="1"/>
    <xf numFmtId="165" fontId="3" fillId="0" borderId="11" xfId="0" applyNumberFormat="1" applyFont="1" applyBorder="1" applyAlignment="1">
      <alignment horizontal="center"/>
    </xf>
    <xf numFmtId="166" fontId="0" fillId="0" borderId="38" xfId="0" applyNumberFormat="1" applyBorder="1"/>
    <xf numFmtId="166" fontId="0" fillId="0" borderId="25" xfId="0" applyNumberFormat="1" applyBorder="1"/>
    <xf numFmtId="0" fontId="0" fillId="0" borderId="15" xfId="0" applyBorder="1"/>
    <xf numFmtId="0" fontId="0" fillId="0" borderId="14" xfId="0" applyBorder="1"/>
    <xf numFmtId="0" fontId="0" fillId="0" borderId="38" xfId="0" applyBorder="1"/>
    <xf numFmtId="0" fontId="0" fillId="0" borderId="13" xfId="0" applyBorder="1"/>
    <xf numFmtId="0" fontId="0" fillId="0" borderId="32" xfId="0" applyBorder="1"/>
    <xf numFmtId="0" fontId="3" fillId="0" borderId="12" xfId="0" applyFont="1" applyBorder="1"/>
    <xf numFmtId="0" fontId="0" fillId="0" borderId="22" xfId="0" applyBorder="1" applyAlignment="1">
      <alignment horizontal="center"/>
    </xf>
    <xf numFmtId="0" fontId="0" fillId="0" borderId="24" xfId="0" applyBorder="1" applyAlignment="1">
      <alignment horizontal="center"/>
    </xf>
    <xf numFmtId="0" fontId="0" fillId="0" borderId="41" xfId="0" applyBorder="1"/>
    <xf numFmtId="0" fontId="0" fillId="0" borderId="42" xfId="0" applyBorder="1"/>
    <xf numFmtId="0" fontId="0" fillId="0" borderId="43" xfId="0" applyBorder="1"/>
    <xf numFmtId="0" fontId="0" fillId="0" borderId="44" xfId="0" applyBorder="1"/>
    <xf numFmtId="0" fontId="0" fillId="0" borderId="44" xfId="0" applyBorder="1" applyAlignment="1">
      <alignment horizontal="center"/>
    </xf>
    <xf numFmtId="0" fontId="0" fillId="0" borderId="45" xfId="0" applyBorder="1"/>
    <xf numFmtId="166" fontId="0" fillId="0" borderId="23" xfId="0" applyNumberFormat="1" applyBorder="1"/>
    <xf numFmtId="166" fontId="0" fillId="0" borderId="26" xfId="0" applyNumberFormat="1" applyBorder="1"/>
    <xf numFmtId="165" fontId="3" fillId="0" borderId="47" xfId="0" applyNumberFormat="1" applyFont="1" applyBorder="1" applyAlignment="1">
      <alignment horizontal="center"/>
    </xf>
    <xf numFmtId="0" fontId="0" fillId="0" borderId="19" xfId="0" applyBorder="1" applyAlignment="1">
      <alignment horizontal="center"/>
    </xf>
    <xf numFmtId="165" fontId="3" fillId="7" borderId="49" xfId="0" applyNumberFormat="1" applyFont="1" applyFill="1" applyBorder="1" applyAlignment="1">
      <alignment horizontal="center"/>
    </xf>
    <xf numFmtId="168" fontId="0" fillId="0" borderId="0" xfId="0" applyNumberFormat="1"/>
    <xf numFmtId="168" fontId="0" fillId="0" borderId="8" xfId="3" applyNumberFormat="1" applyFont="1" applyBorder="1"/>
    <xf numFmtId="168" fontId="0" fillId="0" borderId="38" xfId="0" applyNumberFormat="1" applyBorder="1"/>
    <xf numFmtId="168" fontId="0" fillId="0" borderId="25" xfId="3" applyNumberFormat="1" applyFont="1" applyBorder="1"/>
    <xf numFmtId="1" fontId="3" fillId="7" borderId="49" xfId="0" applyNumberFormat="1" applyFont="1" applyFill="1" applyBorder="1" applyAlignment="1">
      <alignment horizontal="center"/>
    </xf>
    <xf numFmtId="0" fontId="6" fillId="0" borderId="0" xfId="0" applyFont="1"/>
    <xf numFmtId="44" fontId="6" fillId="0" borderId="8" xfId="3" applyFont="1" applyBorder="1"/>
    <xf numFmtId="44" fontId="6" fillId="0" borderId="23" xfId="3" applyFont="1" applyBorder="1"/>
    <xf numFmtId="0" fontId="6" fillId="0" borderId="38" xfId="0" applyFont="1" applyBorder="1"/>
    <xf numFmtId="44" fontId="6" fillId="0" borderId="25" xfId="3" applyFont="1" applyBorder="1"/>
    <xf numFmtId="44" fontId="6" fillId="0" borderId="26" xfId="3" applyFont="1" applyBorder="1"/>
    <xf numFmtId="0" fontId="5" fillId="0" borderId="12" xfId="0" applyFont="1" applyBorder="1"/>
    <xf numFmtId="0" fontId="6" fillId="0" borderId="13" xfId="0" applyFont="1" applyBorder="1"/>
    <xf numFmtId="0" fontId="6" fillId="0" borderId="32" xfId="0" applyFont="1" applyBorder="1"/>
    <xf numFmtId="0" fontId="6" fillId="0" borderId="15" xfId="0" applyFont="1" applyBorder="1"/>
    <xf numFmtId="0" fontId="6" fillId="0" borderId="14" xfId="0" applyFont="1" applyBorder="1"/>
    <xf numFmtId="166" fontId="0" fillId="0" borderId="50" xfId="0" applyNumberFormat="1" applyBorder="1"/>
    <xf numFmtId="0" fontId="6" fillId="7" borderId="22" xfId="0" applyFont="1" applyFill="1" applyBorder="1" applyAlignment="1">
      <alignment horizontal="center"/>
    </xf>
    <xf numFmtId="0" fontId="0" fillId="0" borderId="55" xfId="0" applyBorder="1" applyAlignment="1">
      <alignment horizontal="center"/>
    </xf>
    <xf numFmtId="0" fontId="6" fillId="0" borderId="16" xfId="0" applyFont="1" applyBorder="1"/>
    <xf numFmtId="164" fontId="6" fillId="7" borderId="49" xfId="1" applyNumberFormat="1" applyFont="1" applyFill="1" applyBorder="1"/>
    <xf numFmtId="170" fontId="0" fillId="0" borderId="57" xfId="0" applyNumberFormat="1" applyBorder="1"/>
    <xf numFmtId="0" fontId="0" fillId="0" borderId="57" xfId="0" applyBorder="1"/>
    <xf numFmtId="170" fontId="0" fillId="0" borderId="57" xfId="1" applyNumberFormat="1" applyFont="1" applyBorder="1"/>
    <xf numFmtId="170" fontId="0" fillId="0" borderId="58" xfId="0" applyNumberFormat="1" applyBorder="1"/>
    <xf numFmtId="170" fontId="0" fillId="0" borderId="58" xfId="1" applyNumberFormat="1" applyFont="1" applyBorder="1"/>
    <xf numFmtId="9" fontId="0" fillId="0" borderId="57" xfId="2" applyFont="1" applyBorder="1"/>
    <xf numFmtId="171" fontId="6" fillId="7" borderId="5" xfId="2" applyNumberFormat="1" applyFont="1" applyFill="1" applyBorder="1" applyAlignment="1">
      <alignment horizontal="center"/>
    </xf>
    <xf numFmtId="171" fontId="6" fillId="7" borderId="0" xfId="2" applyNumberFormat="1" applyFont="1" applyFill="1" applyBorder="1" applyAlignment="1">
      <alignment horizontal="center"/>
    </xf>
    <xf numFmtId="0" fontId="0" fillId="0" borderId="0" xfId="0" applyAlignment="1">
      <alignment horizontal="center" vertical="center" wrapText="1"/>
    </xf>
    <xf numFmtId="1" fontId="3" fillId="0" borderId="63" xfId="0" applyNumberFormat="1" applyFont="1" applyBorder="1" applyAlignment="1">
      <alignment horizontal="center"/>
    </xf>
    <xf numFmtId="1" fontId="3" fillId="0" borderId="6" xfId="0" applyNumberFormat="1" applyFont="1" applyBorder="1" applyAlignment="1">
      <alignment horizontal="center"/>
    </xf>
    <xf numFmtId="171" fontId="6" fillId="7" borderId="64" xfId="2" applyNumberFormat="1" applyFont="1" applyFill="1" applyBorder="1" applyAlignment="1">
      <alignment horizontal="center"/>
    </xf>
    <xf numFmtId="0" fontId="0" fillId="0" borderId="66" xfId="0" applyBorder="1" applyAlignment="1">
      <alignment horizontal="center"/>
    </xf>
    <xf numFmtId="0" fontId="0" fillId="0" borderId="8" xfId="0" applyBorder="1" applyAlignment="1">
      <alignment horizontal="center"/>
    </xf>
    <xf numFmtId="1" fontId="3" fillId="0" borderId="67" xfId="0" applyNumberFormat="1" applyFont="1" applyBorder="1" applyAlignment="1">
      <alignment horizontal="center"/>
    </xf>
    <xf numFmtId="1" fontId="3" fillId="0" borderId="60" xfId="0" applyNumberFormat="1" applyFont="1" applyBorder="1" applyAlignment="1">
      <alignment horizontal="center"/>
    </xf>
    <xf numFmtId="166" fontId="0" fillId="0" borderId="13" xfId="0" applyNumberFormat="1" applyBorder="1"/>
    <xf numFmtId="166" fontId="0" fillId="0" borderId="32" xfId="0" applyNumberFormat="1" applyBorder="1"/>
    <xf numFmtId="0" fontId="0" fillId="0" borderId="62" xfId="0" applyBorder="1"/>
    <xf numFmtId="164" fontId="6" fillId="7" borderId="70" xfId="1" applyNumberFormat="1" applyFont="1" applyFill="1" applyBorder="1"/>
    <xf numFmtId="0" fontId="0" fillId="8" borderId="12" xfId="0" applyFill="1" applyBorder="1"/>
    <xf numFmtId="0" fontId="0" fillId="8" borderId="13" xfId="0" applyFill="1" applyBorder="1"/>
    <xf numFmtId="171" fontId="0" fillId="0" borderId="62" xfId="2" applyNumberFormat="1" applyFont="1" applyBorder="1"/>
    <xf numFmtId="171" fontId="0" fillId="0" borderId="8" xfId="2" applyNumberFormat="1" applyFont="1" applyBorder="1"/>
    <xf numFmtId="171" fontId="0" fillId="0" borderId="25" xfId="2" applyNumberFormat="1" applyFont="1" applyBorder="1"/>
    <xf numFmtId="0" fontId="3" fillId="0" borderId="13" xfId="0" applyFont="1" applyBorder="1"/>
    <xf numFmtId="166" fontId="3" fillId="0" borderId="69" xfId="0" applyNumberFormat="1" applyFont="1" applyBorder="1"/>
    <xf numFmtId="166" fontId="3" fillId="0" borderId="25" xfId="0" applyNumberFormat="1" applyFont="1" applyBorder="1"/>
    <xf numFmtId="171" fontId="3" fillId="0" borderId="25" xfId="2" applyNumberFormat="1" applyFont="1" applyBorder="1"/>
    <xf numFmtId="171" fontId="3" fillId="0" borderId="46" xfId="2" applyNumberFormat="1" applyFont="1" applyBorder="1"/>
    <xf numFmtId="166" fontId="3" fillId="0" borderId="52" xfId="0" applyNumberFormat="1" applyFont="1" applyBorder="1"/>
    <xf numFmtId="0" fontId="0" fillId="0" borderId="76" xfId="0" applyBorder="1" applyAlignment="1">
      <alignment horizontal="center"/>
    </xf>
    <xf numFmtId="170" fontId="0" fillId="2" borderId="58" xfId="0" applyNumberFormat="1" applyFill="1" applyBorder="1"/>
    <xf numFmtId="171" fontId="0" fillId="2" borderId="59" xfId="2" applyNumberFormat="1" applyFont="1" applyFill="1" applyBorder="1"/>
    <xf numFmtId="171" fontId="0" fillId="2" borderId="60" xfId="2" applyNumberFormat="1" applyFont="1" applyFill="1" applyBorder="1"/>
    <xf numFmtId="171" fontId="0" fillId="2" borderId="78" xfId="0" applyNumberFormat="1" applyFill="1" applyBorder="1"/>
    <xf numFmtId="171" fontId="0" fillId="2" borderId="10" xfId="0" applyNumberFormat="1" applyFill="1" applyBorder="1"/>
    <xf numFmtId="170" fontId="0" fillId="2" borderId="74" xfId="0" applyNumberFormat="1" applyFill="1" applyBorder="1"/>
    <xf numFmtId="171" fontId="0" fillId="2" borderId="74" xfId="2" applyNumberFormat="1" applyFont="1" applyFill="1" applyBorder="1"/>
    <xf numFmtId="171" fontId="7" fillId="2" borderId="74" xfId="2" applyNumberFormat="1" applyFont="1" applyFill="1" applyBorder="1"/>
    <xf numFmtId="170" fontId="0" fillId="2" borderId="74" xfId="1" applyNumberFormat="1" applyFont="1" applyFill="1" applyBorder="1"/>
    <xf numFmtId="0" fontId="0" fillId="0" borderId="30" xfId="0" applyBorder="1" applyAlignment="1">
      <alignment horizontal="center"/>
    </xf>
    <xf numFmtId="0" fontId="0" fillId="0" borderId="80" xfId="0" applyBorder="1" applyAlignment="1">
      <alignment horizontal="center"/>
    </xf>
    <xf numFmtId="0" fontId="0" fillId="0" borderId="39" xfId="0" applyBorder="1" applyAlignment="1">
      <alignment horizontal="center"/>
    </xf>
    <xf numFmtId="0" fontId="3" fillId="0" borderId="19" xfId="0" applyFont="1" applyBorder="1" applyAlignment="1">
      <alignment horizontal="center"/>
    </xf>
    <xf numFmtId="0" fontId="3" fillId="0" borderId="1" xfId="0" applyFont="1" applyBorder="1" applyAlignment="1">
      <alignment horizontal="center"/>
    </xf>
    <xf numFmtId="168" fontId="0" fillId="0" borderId="2" xfId="0" applyNumberFormat="1" applyBorder="1"/>
    <xf numFmtId="168" fontId="0" fillId="0" borderId="7" xfId="3" applyNumberFormat="1" applyFont="1" applyBorder="1"/>
    <xf numFmtId="164" fontId="0" fillId="0" borderId="7" xfId="1" applyNumberFormat="1" applyFont="1" applyBorder="1"/>
    <xf numFmtId="164" fontId="0" fillId="0" borderId="48" xfId="1" applyNumberFormat="1" applyFont="1" applyBorder="1"/>
    <xf numFmtId="166" fontId="0" fillId="0" borderId="19" xfId="1" applyNumberFormat="1" applyFont="1" applyBorder="1"/>
    <xf numFmtId="166" fontId="0" fillId="0" borderId="48" xfId="1" applyNumberFormat="1" applyFont="1" applyBorder="1"/>
    <xf numFmtId="166" fontId="0" fillId="0" borderId="48" xfId="0" applyNumberFormat="1" applyBorder="1"/>
    <xf numFmtId="166" fontId="0" fillId="0" borderId="71" xfId="0" applyNumberFormat="1" applyBorder="1"/>
    <xf numFmtId="168" fontId="0" fillId="0" borderId="0" xfId="3" applyNumberFormat="1" applyFont="1" applyBorder="1"/>
    <xf numFmtId="0" fontId="0" fillId="0" borderId="15" xfId="0" applyBorder="1" applyAlignment="1">
      <alignment horizontal="center"/>
    </xf>
    <xf numFmtId="168" fontId="0" fillId="0" borderId="14" xfId="0" applyNumberFormat="1" applyBorder="1"/>
    <xf numFmtId="168" fontId="0" fillId="0" borderId="14" xfId="3" applyNumberFormat="1" applyFont="1" applyBorder="1"/>
    <xf numFmtId="0" fontId="0" fillId="5" borderId="4" xfId="0" applyFill="1" applyBorder="1" applyAlignment="1">
      <alignment horizontal="center" vertical="center"/>
    </xf>
    <xf numFmtId="0" fontId="0" fillId="5" borderId="37" xfId="0" applyFill="1" applyBorder="1" applyAlignment="1">
      <alignment horizontal="center" vertical="center"/>
    </xf>
    <xf numFmtId="172" fontId="0" fillId="0" borderId="72" xfId="3" applyNumberFormat="1" applyFont="1" applyFill="1" applyBorder="1"/>
    <xf numFmtId="172" fontId="0" fillId="0" borderId="19" xfId="3" applyNumberFormat="1" applyFont="1" applyFill="1" applyBorder="1"/>
    <xf numFmtId="172" fontId="0" fillId="7" borderId="7" xfId="3" applyNumberFormat="1" applyFont="1" applyFill="1" applyBorder="1"/>
    <xf numFmtId="172" fontId="0" fillId="0" borderId="48" xfId="3" applyNumberFormat="1" applyFont="1" applyFill="1" applyBorder="1"/>
    <xf numFmtId="168" fontId="0" fillId="0" borderId="23" xfId="3" applyNumberFormat="1" applyFont="1" applyBorder="1"/>
    <xf numFmtId="168" fontId="0" fillId="0" borderId="26" xfId="3" applyNumberFormat="1" applyFont="1" applyBorder="1"/>
    <xf numFmtId="168" fontId="0" fillId="0" borderId="48" xfId="3" applyNumberFormat="1" applyFont="1" applyBorder="1"/>
    <xf numFmtId="172" fontId="0" fillId="0" borderId="22" xfId="3" applyNumberFormat="1" applyFont="1" applyFill="1" applyBorder="1"/>
    <xf numFmtId="172" fontId="0" fillId="7" borderId="8" xfId="3" applyNumberFormat="1" applyFont="1" applyFill="1" applyBorder="1"/>
    <xf numFmtId="172" fontId="0" fillId="0" borderId="23" xfId="3" applyNumberFormat="1" applyFont="1" applyFill="1" applyBorder="1"/>
    <xf numFmtId="172" fontId="0" fillId="0" borderId="24" xfId="3" applyNumberFormat="1" applyFont="1" applyFill="1" applyBorder="1"/>
    <xf numFmtId="172" fontId="0" fillId="7" borderId="25" xfId="3" applyNumberFormat="1" applyFont="1" applyFill="1" applyBorder="1"/>
    <xf numFmtId="172" fontId="0" fillId="0" borderId="26" xfId="3" applyNumberFormat="1" applyFont="1" applyFill="1" applyBorder="1"/>
    <xf numFmtId="172" fontId="0" fillId="7" borderId="34" xfId="3" applyNumberFormat="1" applyFont="1" applyFill="1" applyBorder="1"/>
    <xf numFmtId="172" fontId="0" fillId="7" borderId="56" xfId="3" applyNumberFormat="1" applyFont="1" applyFill="1" applyBorder="1"/>
    <xf numFmtId="166" fontId="0" fillId="0" borderId="22" xfId="0" applyNumberFormat="1" applyBorder="1" applyAlignment="1">
      <alignment horizontal="center"/>
    </xf>
    <xf numFmtId="166" fontId="2" fillId="0" borderId="2" xfId="0" applyNumberFormat="1" applyFont="1" applyBorder="1"/>
    <xf numFmtId="166" fontId="2" fillId="0" borderId="0" xfId="0" applyNumberFormat="1" applyFont="1"/>
    <xf numFmtId="1" fontId="3" fillId="7" borderId="83" xfId="0" applyNumberFormat="1" applyFont="1" applyFill="1" applyBorder="1" applyAlignment="1">
      <alignment horizontal="center"/>
    </xf>
    <xf numFmtId="172" fontId="0" fillId="0" borderId="30" xfId="3" applyNumberFormat="1" applyFont="1" applyFill="1" applyBorder="1"/>
    <xf numFmtId="172" fontId="0" fillId="0" borderId="35" xfId="3" applyNumberFormat="1" applyFont="1" applyFill="1" applyBorder="1"/>
    <xf numFmtId="172" fontId="0" fillId="7" borderId="36" xfId="3" applyNumberFormat="1" applyFont="1" applyFill="1" applyBorder="1"/>
    <xf numFmtId="0" fontId="0" fillId="5" borderId="33" xfId="0" applyFill="1" applyBorder="1" applyAlignment="1">
      <alignment horizontal="center" vertical="center"/>
    </xf>
    <xf numFmtId="0" fontId="0" fillId="5" borderId="10" xfId="0" applyFill="1" applyBorder="1" applyAlignment="1">
      <alignment horizontal="center" vertical="center"/>
    </xf>
    <xf numFmtId="0" fontId="0" fillId="5" borderId="20" xfId="0" applyFill="1" applyBorder="1" applyAlignment="1">
      <alignment horizontal="center" vertical="center"/>
    </xf>
    <xf numFmtId="0" fontId="0" fillId="5" borderId="29" xfId="0" applyFill="1" applyBorder="1" applyAlignment="1">
      <alignment horizontal="center" vertical="center"/>
    </xf>
    <xf numFmtId="0" fontId="0" fillId="5" borderId="17" xfId="0" applyFill="1" applyBorder="1" applyAlignment="1">
      <alignment horizontal="center" vertical="center"/>
    </xf>
    <xf numFmtId="0" fontId="0" fillId="5" borderId="18" xfId="0" applyFill="1" applyBorder="1" applyAlignment="1">
      <alignment horizontal="center" vertical="center"/>
    </xf>
    <xf numFmtId="166" fontId="0" fillId="0" borderId="53" xfId="1" applyNumberFormat="1" applyFont="1" applyBorder="1"/>
    <xf numFmtId="166" fontId="0" fillId="0" borderId="40" xfId="1" applyNumberFormat="1" applyFont="1" applyBorder="1"/>
    <xf numFmtId="172" fontId="0" fillId="7" borderId="84" xfId="3" applyNumberFormat="1" applyFont="1" applyFill="1" applyBorder="1"/>
    <xf numFmtId="166" fontId="0" fillId="0" borderId="24" xfId="0" applyNumberFormat="1" applyBorder="1" applyAlignment="1">
      <alignment horizontal="center"/>
    </xf>
    <xf numFmtId="0" fontId="0" fillId="5" borderId="29" xfId="0" applyFill="1" applyBorder="1" applyAlignment="1">
      <alignment horizontal="center"/>
    </xf>
    <xf numFmtId="0" fontId="0" fillId="5" borderId="20" xfId="0" applyFill="1" applyBorder="1" applyAlignment="1">
      <alignment horizontal="center"/>
    </xf>
    <xf numFmtId="0" fontId="0" fillId="5" borderId="22" xfId="0" applyFill="1" applyBorder="1" applyAlignment="1">
      <alignment horizontal="center"/>
    </xf>
    <xf numFmtId="0" fontId="0" fillId="5" borderId="23" xfId="0" applyFill="1" applyBorder="1" applyAlignment="1">
      <alignment horizontal="center"/>
    </xf>
    <xf numFmtId="165" fontId="3" fillId="10" borderId="65" xfId="0" applyNumberFormat="1" applyFont="1" applyFill="1" applyBorder="1" applyAlignment="1">
      <alignment horizontal="center"/>
    </xf>
    <xf numFmtId="0" fontId="0" fillId="5" borderId="6" xfId="0" applyFill="1" applyBorder="1" applyAlignment="1">
      <alignment horizontal="center" vertical="center"/>
    </xf>
    <xf numFmtId="166" fontId="0" fillId="0" borderId="90" xfId="0" applyNumberFormat="1" applyBorder="1"/>
    <xf numFmtId="166" fontId="0" fillId="0" borderId="14" xfId="1" applyNumberFormat="1" applyFont="1" applyBorder="1"/>
    <xf numFmtId="166" fontId="2" fillId="0" borderId="14" xfId="0" applyNumberFormat="1" applyFont="1" applyBorder="1"/>
    <xf numFmtId="0" fontId="3" fillId="0" borderId="0" xfId="0" applyFont="1" applyAlignment="1">
      <alignment wrapText="1"/>
    </xf>
    <xf numFmtId="166" fontId="0" fillId="0" borderId="82" xfId="0" applyNumberFormat="1" applyBorder="1"/>
    <xf numFmtId="0" fontId="0" fillId="0" borderId="14" xfId="0" applyBorder="1" applyAlignment="1">
      <alignment horizontal="center"/>
    </xf>
    <xf numFmtId="166" fontId="0" fillId="0" borderId="73" xfId="0" applyNumberFormat="1" applyBorder="1"/>
    <xf numFmtId="166" fontId="0" fillId="0" borderId="91" xfId="0" applyNumberFormat="1" applyBorder="1"/>
    <xf numFmtId="0" fontId="0" fillId="3" borderId="20" xfId="0" applyFill="1" applyBorder="1" applyAlignment="1">
      <alignment horizontal="center" vertical="center"/>
    </xf>
    <xf numFmtId="166" fontId="10" fillId="0" borderId="2" xfId="0" applyNumberFormat="1" applyFont="1" applyBorder="1"/>
    <xf numFmtId="166" fontId="10" fillId="0" borderId="0" xfId="0" applyNumberFormat="1" applyFont="1"/>
    <xf numFmtId="166" fontId="2" fillId="0" borderId="95" xfId="0" applyNumberFormat="1" applyFont="1" applyBorder="1"/>
    <xf numFmtId="0" fontId="11" fillId="0" borderId="0" xfId="0" applyFont="1" applyAlignment="1">
      <alignment wrapText="1"/>
    </xf>
    <xf numFmtId="166" fontId="3" fillId="0" borderId="91" xfId="0" applyNumberFormat="1" applyFont="1" applyBorder="1"/>
    <xf numFmtId="166" fontId="3" fillId="0" borderId="0" xfId="0" applyNumberFormat="1" applyFont="1"/>
    <xf numFmtId="166" fontId="3" fillId="0" borderId="75" xfId="0" applyNumberFormat="1" applyFont="1" applyBorder="1"/>
    <xf numFmtId="166" fontId="10" fillId="0" borderId="12" xfId="0" applyNumberFormat="1" applyFont="1" applyBorder="1"/>
    <xf numFmtId="166" fontId="0" fillId="0" borderId="81" xfId="0" applyNumberFormat="1" applyBorder="1"/>
    <xf numFmtId="166" fontId="0" fillId="4" borderId="92" xfId="0" applyNumberFormat="1" applyFill="1" applyBorder="1"/>
    <xf numFmtId="166" fontId="0" fillId="4" borderId="90" xfId="0" applyNumberFormat="1" applyFill="1" applyBorder="1"/>
    <xf numFmtId="166" fontId="3" fillId="4" borderId="86" xfId="0" applyNumberFormat="1" applyFont="1" applyFill="1" applyBorder="1"/>
    <xf numFmtId="0" fontId="3" fillId="4" borderId="34" xfId="0" applyFont="1" applyFill="1" applyBorder="1" applyAlignment="1">
      <alignment horizontal="center" wrapText="1"/>
    </xf>
    <xf numFmtId="166" fontId="10" fillId="0" borderId="13" xfId="0" applyNumberFormat="1" applyFont="1" applyBorder="1"/>
    <xf numFmtId="166" fontId="0" fillId="0" borderId="52" xfId="0" applyNumberFormat="1" applyBorder="1"/>
    <xf numFmtId="166" fontId="3" fillId="4" borderId="96" xfId="0" applyNumberFormat="1" applyFont="1" applyFill="1" applyBorder="1"/>
    <xf numFmtId="164" fontId="0" fillId="0" borderId="12" xfId="0" applyNumberFormat="1" applyBorder="1" applyAlignment="1">
      <alignment horizontal="left" vertical="center"/>
    </xf>
    <xf numFmtId="164" fontId="0" fillId="0" borderId="68" xfId="0" applyNumberFormat="1" applyBorder="1" applyAlignment="1">
      <alignment horizontal="center" vertical="center" wrapText="1"/>
    </xf>
    <xf numFmtId="9" fontId="0" fillId="3" borderId="77" xfId="2" applyFont="1" applyFill="1" applyBorder="1" applyAlignment="1">
      <alignment horizontal="center"/>
    </xf>
    <xf numFmtId="0" fontId="3" fillId="0" borderId="75" xfId="0" applyFont="1" applyBorder="1"/>
    <xf numFmtId="166" fontId="3" fillId="0" borderId="90" xfId="0" applyNumberFormat="1" applyFont="1" applyBorder="1"/>
    <xf numFmtId="166" fontId="0" fillId="0" borderId="89" xfId="0" applyNumberFormat="1" applyBorder="1"/>
    <xf numFmtId="44" fontId="6" fillId="0" borderId="0" xfId="3" applyFont="1" applyFill="1" applyBorder="1"/>
    <xf numFmtId="0" fontId="6" fillId="0" borderId="0" xfId="0" applyFont="1" applyAlignment="1">
      <alignment horizontal="center"/>
    </xf>
    <xf numFmtId="164" fontId="6" fillId="0" borderId="0" xfId="1" applyNumberFormat="1" applyFont="1" applyFill="1" applyBorder="1"/>
    <xf numFmtId="169" fontId="6" fillId="0" borderId="0" xfId="0" applyNumberFormat="1" applyFont="1" applyAlignment="1">
      <alignment horizontal="center"/>
    </xf>
    <xf numFmtId="170" fontId="3" fillId="0" borderId="0" xfId="0" applyNumberFormat="1" applyFont="1"/>
    <xf numFmtId="171" fontId="3" fillId="7" borderId="49" xfId="2" applyNumberFormat="1" applyFont="1" applyFill="1" applyBorder="1" applyAlignment="1">
      <alignment horizontal="center"/>
    </xf>
    <xf numFmtId="166" fontId="0" fillId="0" borderId="98" xfId="0" applyNumberFormat="1" applyBorder="1"/>
    <xf numFmtId="166" fontId="2" fillId="0" borderId="81" xfId="0" applyNumberFormat="1" applyFont="1" applyBorder="1"/>
    <xf numFmtId="166" fontId="2" fillId="0" borderId="82" xfId="0" applyNumberFormat="1" applyFont="1" applyBorder="1"/>
    <xf numFmtId="166" fontId="2" fillId="0" borderId="73" xfId="0" applyNumberFormat="1" applyFont="1" applyBorder="1"/>
    <xf numFmtId="166" fontId="7" fillId="0" borderId="52" xfId="0" applyNumberFormat="1" applyFont="1" applyBorder="1"/>
    <xf numFmtId="0" fontId="0" fillId="5" borderId="40" xfId="0" applyFill="1" applyBorder="1" applyAlignment="1">
      <alignment horizontal="center" vertical="center"/>
    </xf>
    <xf numFmtId="0" fontId="5" fillId="0" borderId="0" xfId="0" applyFont="1"/>
    <xf numFmtId="0" fontId="7" fillId="0" borderId="0" xfId="0" applyFont="1"/>
    <xf numFmtId="0" fontId="0" fillId="0" borderId="8" xfId="0" applyBorder="1"/>
    <xf numFmtId="0" fontId="0" fillId="0" borderId="25" xfId="0" applyBorder="1"/>
    <xf numFmtId="0" fontId="6" fillId="7" borderId="24" xfId="0" applyFont="1" applyFill="1" applyBorder="1" applyAlignment="1">
      <alignment horizontal="center"/>
    </xf>
    <xf numFmtId="1" fontId="3" fillId="0" borderId="30" xfId="0" applyNumberFormat="1" applyFont="1" applyBorder="1" applyAlignment="1">
      <alignment horizontal="center"/>
    </xf>
    <xf numFmtId="44" fontId="6" fillId="0" borderId="30" xfId="3" applyFont="1" applyBorder="1"/>
    <xf numFmtId="0" fontId="6" fillId="0" borderId="5" xfId="0" applyFont="1" applyBorder="1"/>
    <xf numFmtId="0" fontId="0" fillId="0" borderId="30" xfId="0" applyBorder="1"/>
    <xf numFmtId="0" fontId="0" fillId="0" borderId="52" xfId="0" applyBorder="1" applyAlignment="1">
      <alignment horizontal="center"/>
    </xf>
    <xf numFmtId="0" fontId="7" fillId="0" borderId="35" xfId="0" applyFont="1" applyBorder="1"/>
    <xf numFmtId="0" fontId="7" fillId="0" borderId="38" xfId="0" applyFont="1" applyBorder="1"/>
    <xf numFmtId="164" fontId="0" fillId="0" borderId="77" xfId="0" applyNumberFormat="1" applyBorder="1"/>
    <xf numFmtId="0" fontId="7" fillId="0" borderId="73" xfId="0" applyFont="1" applyBorder="1"/>
    <xf numFmtId="164" fontId="0" fillId="0" borderId="73" xfId="0" applyNumberFormat="1" applyBorder="1"/>
    <xf numFmtId="0" fontId="6" fillId="2" borderId="99" xfId="0" applyFont="1" applyFill="1" applyBorder="1" applyAlignment="1">
      <alignment horizontal="center"/>
    </xf>
    <xf numFmtId="1" fontId="3" fillId="0" borderId="102" xfId="0" applyNumberFormat="1" applyFont="1" applyBorder="1" applyAlignment="1">
      <alignment horizontal="center"/>
    </xf>
    <xf numFmtId="0" fontId="6" fillId="5" borderId="101" xfId="0" applyFont="1" applyFill="1" applyBorder="1" applyAlignment="1">
      <alignment horizontal="center"/>
    </xf>
    <xf numFmtId="0" fontId="0" fillId="5" borderId="47" xfId="0" applyFill="1" applyBorder="1" applyAlignment="1">
      <alignment horizontal="center" vertical="center"/>
    </xf>
    <xf numFmtId="172" fontId="0" fillId="0" borderId="22" xfId="3" applyNumberFormat="1" applyFont="1" applyBorder="1"/>
    <xf numFmtId="172" fontId="0" fillId="0" borderId="24" xfId="3" applyNumberFormat="1" applyFont="1" applyBorder="1"/>
    <xf numFmtId="0" fontId="0" fillId="5" borderId="62" xfId="0" applyFill="1" applyBorder="1" applyAlignment="1">
      <alignment horizontal="center" vertical="center"/>
    </xf>
    <xf numFmtId="0" fontId="0" fillId="5" borderId="9" xfId="0" applyFill="1" applyBorder="1" applyAlignment="1">
      <alignment horizontal="center" vertical="center"/>
    </xf>
    <xf numFmtId="168" fontId="0" fillId="0" borderId="8" xfId="0" applyNumberFormat="1" applyBorder="1"/>
    <xf numFmtId="168" fontId="0" fillId="0" borderId="25" xfId="0" applyNumberFormat="1" applyBorder="1"/>
    <xf numFmtId="44" fontId="6" fillId="0" borderId="56" xfId="3" applyFont="1" applyBorder="1"/>
    <xf numFmtId="0" fontId="6" fillId="0" borderId="17" xfId="0" applyFont="1" applyBorder="1"/>
    <xf numFmtId="167" fontId="13" fillId="0" borderId="77" xfId="3" applyNumberFormat="1" applyFont="1" applyBorder="1"/>
    <xf numFmtId="169" fontId="6" fillId="7" borderId="22" xfId="0" applyNumberFormat="1" applyFont="1" applyFill="1" applyBorder="1" applyAlignment="1">
      <alignment horizontal="center"/>
    </xf>
    <xf numFmtId="169" fontId="6" fillId="7" borderId="24" xfId="0" applyNumberFormat="1" applyFont="1" applyFill="1" applyBorder="1" applyAlignment="1">
      <alignment horizontal="center"/>
    </xf>
    <xf numFmtId="0" fontId="6" fillId="0" borderId="0" xfId="0" applyFont="1" applyAlignment="1">
      <alignment vertical="center" wrapText="1"/>
    </xf>
    <xf numFmtId="0" fontId="6" fillId="0" borderId="84" xfId="0" applyFont="1" applyBorder="1" applyAlignment="1">
      <alignment vertical="center" wrapText="1"/>
    </xf>
    <xf numFmtId="0" fontId="6" fillId="0" borderId="56" xfId="0" applyFont="1" applyBorder="1" applyAlignment="1">
      <alignment vertical="center" wrapText="1"/>
    </xf>
    <xf numFmtId="164" fontId="6" fillId="5" borderId="69" xfId="1" applyNumberFormat="1" applyFont="1" applyFill="1" applyBorder="1"/>
    <xf numFmtId="164" fontId="6" fillId="7" borderId="69" xfId="1" applyNumberFormat="1" applyFont="1" applyFill="1" applyBorder="1"/>
    <xf numFmtId="164" fontId="6" fillId="7" borderId="68" xfId="1" applyNumberFormat="1" applyFont="1" applyFill="1" applyBorder="1"/>
    <xf numFmtId="44" fontId="13" fillId="9" borderId="52" xfId="3" applyFont="1" applyFill="1" applyBorder="1"/>
    <xf numFmtId="0" fontId="2" fillId="0" borderId="0" xfId="0" applyFont="1"/>
    <xf numFmtId="44" fontId="13" fillId="9" borderId="8" xfId="3" applyFont="1" applyFill="1" applyBorder="1"/>
    <xf numFmtId="0" fontId="13" fillId="0" borderId="35" xfId="0" applyFont="1" applyBorder="1"/>
    <xf numFmtId="164" fontId="6" fillId="0" borderId="82" xfId="1" applyNumberFormat="1" applyFont="1" applyBorder="1"/>
    <xf numFmtId="167" fontId="13" fillId="9" borderId="52" xfId="3" applyNumberFormat="1" applyFont="1" applyFill="1" applyBorder="1"/>
    <xf numFmtId="166" fontId="7" fillId="0" borderId="46" xfId="0" applyNumberFormat="1" applyFont="1" applyBorder="1"/>
    <xf numFmtId="166" fontId="7" fillId="0" borderId="24" xfId="0" applyNumberFormat="1" applyFont="1" applyBorder="1"/>
    <xf numFmtId="43" fontId="4" fillId="0" borderId="0" xfId="0" applyNumberFormat="1" applyFont="1"/>
    <xf numFmtId="0" fontId="3" fillId="0" borderId="106" xfId="0" applyFont="1" applyBorder="1" applyAlignment="1">
      <alignment horizontal="center" vertical="center"/>
    </xf>
    <xf numFmtId="170" fontId="0" fillId="2" borderId="108" xfId="0" applyNumberFormat="1" applyFill="1" applyBorder="1"/>
    <xf numFmtId="170" fontId="0" fillId="0" borderId="106" xfId="0" applyNumberFormat="1" applyBorder="1"/>
    <xf numFmtId="170" fontId="0" fillId="2" borderId="111" xfId="0" applyNumberFormat="1" applyFill="1" applyBorder="1"/>
    <xf numFmtId="0" fontId="0" fillId="0" borderId="112" xfId="0" applyBorder="1"/>
    <xf numFmtId="9" fontId="6" fillId="0" borderId="105" xfId="2" applyFont="1" applyFill="1" applyBorder="1" applyAlignment="1">
      <alignment horizontal="center"/>
    </xf>
    <xf numFmtId="0" fontId="0" fillId="0" borderId="106" xfId="0" applyBorder="1"/>
    <xf numFmtId="166" fontId="7" fillId="0" borderId="117" xfId="0" applyNumberFormat="1" applyFont="1" applyBorder="1"/>
    <xf numFmtId="166" fontId="0" fillId="0" borderId="117" xfId="0" applyNumberFormat="1" applyBorder="1"/>
    <xf numFmtId="0" fontId="3" fillId="0" borderId="120" xfId="0" applyFont="1" applyBorder="1"/>
    <xf numFmtId="166" fontId="3" fillId="0" borderId="121" xfId="0" applyNumberFormat="1" applyFont="1" applyBorder="1"/>
    <xf numFmtId="9" fontId="5" fillId="0" borderId="113" xfId="2" applyFont="1" applyFill="1" applyBorder="1" applyAlignment="1">
      <alignment horizontal="left"/>
    </xf>
    <xf numFmtId="166" fontId="4" fillId="0" borderId="122" xfId="0" applyNumberFormat="1" applyFont="1" applyBorder="1"/>
    <xf numFmtId="9" fontId="5" fillId="0" borderId="123" xfId="2" applyFont="1" applyFill="1" applyBorder="1" applyAlignment="1">
      <alignment horizontal="left"/>
    </xf>
    <xf numFmtId="0" fontId="0" fillId="0" borderId="124" xfId="0" applyBorder="1"/>
    <xf numFmtId="43" fontId="4" fillId="7" borderId="125" xfId="0" applyNumberFormat="1" applyFont="1" applyFill="1" applyBorder="1"/>
    <xf numFmtId="170" fontId="0" fillId="2" borderId="126" xfId="1" applyNumberFormat="1" applyFont="1" applyFill="1" applyBorder="1"/>
    <xf numFmtId="171" fontId="0" fillId="2" borderId="9" xfId="0" applyNumberFormat="1" applyFill="1" applyBorder="1"/>
    <xf numFmtId="0" fontId="8" fillId="9" borderId="128" xfId="0" applyFont="1" applyFill="1" applyBorder="1" applyAlignment="1">
      <alignment vertical="center" wrapText="1"/>
    </xf>
    <xf numFmtId="9" fontId="9" fillId="7" borderId="129" xfId="2" applyFont="1" applyFill="1" applyBorder="1" applyAlignment="1">
      <alignment vertical="center" wrapText="1"/>
    </xf>
    <xf numFmtId="164" fontId="0" fillId="11" borderId="25" xfId="1" applyNumberFormat="1" applyFont="1" applyFill="1" applyBorder="1"/>
    <xf numFmtId="166" fontId="0" fillId="11" borderId="22" xfId="0" applyNumberFormat="1" applyFill="1" applyBorder="1" applyAlignment="1">
      <alignment horizontal="center"/>
    </xf>
    <xf numFmtId="166" fontId="0" fillId="11" borderId="8" xfId="1" applyNumberFormat="1" applyFont="1" applyFill="1" applyBorder="1"/>
    <xf numFmtId="166" fontId="0" fillId="11" borderId="23" xfId="1" applyNumberFormat="1" applyFont="1" applyFill="1" applyBorder="1"/>
    <xf numFmtId="166" fontId="0" fillId="11" borderId="26" xfId="1" applyNumberFormat="1" applyFont="1" applyFill="1" applyBorder="1"/>
    <xf numFmtId="166" fontId="2" fillId="12" borderId="53" xfId="0" applyNumberFormat="1" applyFont="1" applyFill="1" applyBorder="1"/>
    <xf numFmtId="166" fontId="0" fillId="12" borderId="14" xfId="0" applyNumberFormat="1" applyFill="1" applyBorder="1"/>
    <xf numFmtId="166" fontId="0" fillId="12" borderId="61" xfId="0" applyNumberFormat="1" applyFill="1" applyBorder="1"/>
    <xf numFmtId="166" fontId="2" fillId="12" borderId="22" xfId="0" applyNumberFormat="1" applyFont="1" applyFill="1" applyBorder="1"/>
    <xf numFmtId="166" fontId="0" fillId="12" borderId="0" xfId="0" applyNumberFormat="1" applyFill="1"/>
    <xf numFmtId="166" fontId="0" fillId="12" borderId="3" xfId="0" applyNumberFormat="1" applyFill="1" applyBorder="1"/>
    <xf numFmtId="0" fontId="0" fillId="12" borderId="22" xfId="0" applyFill="1" applyBorder="1"/>
    <xf numFmtId="0" fontId="0" fillId="12" borderId="0" xfId="0" applyFill="1"/>
    <xf numFmtId="0" fontId="0" fillId="12" borderId="24" xfId="0" applyFill="1" applyBorder="1"/>
    <xf numFmtId="0" fontId="0" fillId="12" borderId="38" xfId="0" applyFill="1" applyBorder="1"/>
    <xf numFmtId="166" fontId="0" fillId="12" borderId="46" xfId="0" applyNumberFormat="1" applyFill="1" applyBorder="1"/>
    <xf numFmtId="0" fontId="0" fillId="0" borderId="23" xfId="0" applyBorder="1"/>
    <xf numFmtId="0" fontId="0" fillId="0" borderId="26" xfId="0" applyBorder="1"/>
    <xf numFmtId="166" fontId="3" fillId="7" borderId="8" xfId="1" applyNumberFormat="1" applyFont="1" applyFill="1" applyBorder="1"/>
    <xf numFmtId="164" fontId="3" fillId="11" borderId="26" xfId="1" applyNumberFormat="1" applyFont="1" applyFill="1" applyBorder="1"/>
    <xf numFmtId="0" fontId="3" fillId="0" borderId="112" xfId="0" applyFont="1" applyBorder="1" applyAlignment="1">
      <alignment horizontal="center" vertical="center"/>
    </xf>
    <xf numFmtId="1" fontId="7" fillId="7" borderId="133" xfId="0" applyNumberFormat="1" applyFont="1" applyFill="1" applyBorder="1" applyAlignment="1">
      <alignment horizontal="center"/>
    </xf>
    <xf numFmtId="0" fontId="0" fillId="5" borderId="54" xfId="0" applyFill="1" applyBorder="1" applyAlignment="1">
      <alignment horizontal="center" vertical="center"/>
    </xf>
    <xf numFmtId="0" fontId="0" fillId="5" borderId="53" xfId="0" applyFill="1" applyBorder="1" applyAlignment="1">
      <alignment horizontal="center" vertical="center"/>
    </xf>
    <xf numFmtId="0" fontId="0" fillId="5" borderId="21" xfId="0" applyFill="1" applyBorder="1" applyAlignment="1">
      <alignment horizontal="center" vertical="center"/>
    </xf>
    <xf numFmtId="0" fontId="12" fillId="0" borderId="15" xfId="0" applyFont="1" applyBorder="1" applyAlignment="1">
      <alignment horizontal="center"/>
    </xf>
    <xf numFmtId="0" fontId="12" fillId="0" borderId="14" xfId="0" applyFont="1" applyBorder="1" applyAlignment="1">
      <alignment horizontal="center"/>
    </xf>
    <xf numFmtId="0" fontId="12" fillId="0" borderId="16" xfId="0" applyFont="1" applyBorder="1" applyAlignment="1">
      <alignment horizontal="center"/>
    </xf>
    <xf numFmtId="0" fontId="12" fillId="0" borderId="35" xfId="0" applyFont="1" applyBorder="1" applyAlignment="1">
      <alignment horizontal="center"/>
    </xf>
    <xf numFmtId="0" fontId="12" fillId="0" borderId="38" xfId="0" applyFont="1" applyBorder="1" applyAlignment="1">
      <alignment horizontal="center"/>
    </xf>
    <xf numFmtId="0" fontId="12" fillId="0" borderId="36" xfId="0" applyFont="1" applyBorder="1" applyAlignment="1">
      <alignment horizont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38" xfId="0" applyFont="1" applyBorder="1" applyAlignment="1">
      <alignment horizontal="center" vertical="center"/>
    </xf>
    <xf numFmtId="0" fontId="12" fillId="0" borderId="36" xfId="0" applyFont="1" applyBorder="1" applyAlignment="1">
      <alignment horizontal="center" vertical="center"/>
    </xf>
    <xf numFmtId="0" fontId="0" fillId="0" borderId="17" xfId="0" applyBorder="1" applyAlignment="1">
      <alignment horizontal="center" wrapText="1"/>
    </xf>
    <xf numFmtId="0" fontId="0" fillId="0" borderId="18" xfId="0" applyBorder="1" applyAlignment="1">
      <alignment horizontal="center" wrapText="1"/>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4" borderId="34" xfId="0" applyFont="1" applyFill="1" applyBorder="1" applyAlignment="1">
      <alignment horizontal="center" wrapText="1"/>
    </xf>
    <xf numFmtId="0" fontId="3" fillId="4" borderId="18" xfId="0" applyFont="1" applyFill="1" applyBorder="1" applyAlignment="1">
      <alignment horizontal="center" wrapText="1"/>
    </xf>
    <xf numFmtId="0" fontId="0" fillId="0" borderId="17" xfId="0" applyBorder="1" applyAlignment="1">
      <alignment horizontal="center"/>
    </xf>
    <xf numFmtId="0" fontId="0" fillId="0" borderId="18" xfId="0" applyBorder="1" applyAlignment="1">
      <alignment horizontal="center"/>
    </xf>
    <xf numFmtId="9" fontId="0" fillId="7" borderId="93" xfId="2" applyFont="1" applyFill="1" applyBorder="1" applyAlignment="1">
      <alignment horizontal="center"/>
    </xf>
    <xf numFmtId="9" fontId="0" fillId="7" borderId="94" xfId="2" applyFont="1" applyFill="1" applyBorder="1" applyAlignment="1">
      <alignment horizontal="center"/>
    </xf>
    <xf numFmtId="0" fontId="3" fillId="0" borderId="85"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89" xfId="0" applyFont="1" applyBorder="1" applyAlignment="1">
      <alignment horizontal="center" vertical="center" wrapText="1"/>
    </xf>
    <xf numFmtId="0" fontId="3" fillId="4" borderId="30"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4" borderId="82" xfId="0" applyFont="1" applyFill="1" applyBorder="1" applyAlignment="1">
      <alignment horizontal="center" wrapText="1"/>
    </xf>
    <xf numFmtId="0" fontId="3" fillId="4" borderId="73" xfId="0" applyFont="1" applyFill="1" applyBorder="1" applyAlignment="1">
      <alignment horizontal="center" wrapText="1"/>
    </xf>
    <xf numFmtId="0" fontId="0" fillId="5" borderId="27" xfId="0" applyFill="1" applyBorder="1" applyAlignment="1">
      <alignment horizontal="center" vertical="center"/>
    </xf>
    <xf numFmtId="0" fontId="0" fillId="5" borderId="31" xfId="0" applyFill="1" applyBorder="1" applyAlignment="1">
      <alignment horizontal="center" vertical="center"/>
    </xf>
    <xf numFmtId="0" fontId="0" fillId="5" borderId="28" xfId="0" applyFill="1" applyBorder="1" applyAlignment="1">
      <alignment horizontal="center" vertical="center"/>
    </xf>
    <xf numFmtId="0" fontId="3" fillId="2" borderId="3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38" xfId="0" applyFont="1" applyFill="1" applyBorder="1" applyAlignment="1">
      <alignment horizontal="center" vertical="center" wrapText="1"/>
    </xf>
    <xf numFmtId="0" fontId="0" fillId="5" borderId="61" xfId="0" applyFill="1" applyBorder="1" applyAlignment="1">
      <alignment horizontal="center" vertical="center"/>
    </xf>
    <xf numFmtId="0" fontId="0" fillId="5" borderId="4" xfId="0" applyFill="1" applyBorder="1" applyAlignment="1">
      <alignment horizontal="center" vertical="center"/>
    </xf>
    <xf numFmtId="0" fontId="0" fillId="5" borderId="40" xfId="0" applyFill="1" applyBorder="1" applyAlignment="1">
      <alignment horizontal="center" vertical="center"/>
    </xf>
    <xf numFmtId="0" fontId="0" fillId="5" borderId="37" xfId="0" applyFill="1" applyBorder="1" applyAlignment="1">
      <alignment horizontal="center" vertical="center"/>
    </xf>
    <xf numFmtId="0" fontId="0" fillId="5" borderId="62" xfId="0" applyFill="1" applyBorder="1" applyAlignment="1">
      <alignment horizontal="center" vertical="center"/>
    </xf>
    <xf numFmtId="0" fontId="0" fillId="5" borderId="9" xfId="0" applyFill="1" applyBorder="1" applyAlignment="1">
      <alignment horizontal="center" vertical="center"/>
    </xf>
    <xf numFmtId="168" fontId="0" fillId="0" borderId="72" xfId="3" applyNumberFormat="1" applyFont="1" applyFill="1" applyBorder="1" applyAlignment="1">
      <alignment horizontal="center" vertical="center" wrapText="1"/>
    </xf>
    <xf numFmtId="168" fontId="0" fillId="0" borderId="2" xfId="3" applyNumberFormat="1" applyFont="1" applyFill="1" applyBorder="1" applyAlignment="1">
      <alignment horizontal="center" vertical="center" wrapText="1"/>
    </xf>
    <xf numFmtId="168" fontId="0" fillId="0" borderId="71" xfId="3" applyNumberFormat="1" applyFont="1" applyFill="1" applyBorder="1" applyAlignment="1">
      <alignment horizontal="center" vertical="center" wrapText="1"/>
    </xf>
    <xf numFmtId="168" fontId="0" fillId="0" borderId="30" xfId="3" applyNumberFormat="1" applyFont="1" applyFill="1" applyBorder="1" applyAlignment="1">
      <alignment horizontal="center" vertical="center" wrapText="1"/>
    </xf>
    <xf numFmtId="168" fontId="0" fillId="0" borderId="0" xfId="3" applyNumberFormat="1" applyFont="1" applyFill="1" applyBorder="1" applyAlignment="1">
      <alignment horizontal="center" vertical="center" wrapText="1"/>
    </xf>
    <xf numFmtId="168" fontId="0" fillId="0" borderId="34" xfId="3" applyNumberFormat="1" applyFont="1" applyFill="1" applyBorder="1" applyAlignment="1">
      <alignment horizontal="center" vertical="center" wrapText="1"/>
    </xf>
    <xf numFmtId="168" fontId="0" fillId="0" borderId="35" xfId="3" applyNumberFormat="1" applyFont="1" applyFill="1" applyBorder="1" applyAlignment="1">
      <alignment horizontal="center" vertical="center" wrapText="1"/>
    </xf>
    <xf numFmtId="168" fontId="0" fillId="0" borderId="38" xfId="3" applyNumberFormat="1" applyFont="1" applyFill="1" applyBorder="1" applyAlignment="1">
      <alignment horizontal="center" vertical="center" wrapText="1"/>
    </xf>
    <xf numFmtId="168" fontId="0" fillId="0" borderId="36" xfId="3" applyNumberFormat="1" applyFont="1" applyFill="1" applyBorder="1" applyAlignment="1">
      <alignment horizontal="center" vertical="center" wrapText="1"/>
    </xf>
    <xf numFmtId="0" fontId="0" fillId="0" borderId="77" xfId="0" applyBorder="1" applyAlignment="1">
      <alignment horizontal="center" vertical="center"/>
    </xf>
    <xf numFmtId="0" fontId="0" fillId="0" borderId="82" xfId="0" applyBorder="1" applyAlignment="1">
      <alignment horizontal="center" vertical="center"/>
    </xf>
    <xf numFmtId="0" fontId="0" fillId="5" borderId="54" xfId="0" applyFill="1" applyBorder="1" applyAlignment="1">
      <alignment horizontal="center" vertical="center"/>
    </xf>
    <xf numFmtId="0" fontId="3" fillId="5" borderId="77" xfId="0" applyFont="1" applyFill="1" applyBorder="1" applyAlignment="1">
      <alignment horizontal="center" vertical="center"/>
    </xf>
    <xf numFmtId="0" fontId="3" fillId="5" borderId="104" xfId="0" applyFont="1" applyFill="1" applyBorder="1" applyAlignment="1">
      <alignment horizontal="center" vertical="center"/>
    </xf>
    <xf numFmtId="166" fontId="3" fillId="0" borderId="77" xfId="0" applyNumberFormat="1" applyFont="1" applyBorder="1" applyAlignment="1">
      <alignment horizontal="center" wrapText="1"/>
    </xf>
    <xf numFmtId="166" fontId="3" fillId="0" borderId="73" xfId="0" applyNumberFormat="1" applyFont="1" applyBorder="1" applyAlignment="1">
      <alignment horizontal="center" wrapText="1"/>
    </xf>
    <xf numFmtId="0" fontId="3" fillId="0" borderId="40" xfId="0" applyFont="1" applyBorder="1" applyAlignment="1">
      <alignment horizontal="center" vertical="center"/>
    </xf>
    <xf numFmtId="0" fontId="3" fillId="0" borderId="37" xfId="0" applyFont="1" applyBorder="1" applyAlignment="1">
      <alignment horizontal="center" vertical="center"/>
    </xf>
    <xf numFmtId="0" fontId="0" fillId="0" borderId="40" xfId="0" applyBorder="1" applyAlignment="1">
      <alignment horizontal="center" vertical="center"/>
    </xf>
    <xf numFmtId="0" fontId="0" fillId="0" borderId="23" xfId="0" applyBorder="1" applyAlignment="1">
      <alignment horizontal="center" vertical="center"/>
    </xf>
    <xf numFmtId="171" fontId="0" fillId="0" borderId="14" xfId="2" applyNumberFormat="1" applyFont="1" applyBorder="1" applyAlignment="1">
      <alignment horizontal="center" vertical="center"/>
    </xf>
    <xf numFmtId="171" fontId="0" fillId="0" borderId="0" xfId="2" applyNumberFormat="1" applyFont="1" applyBorder="1" applyAlignment="1">
      <alignment horizontal="center" vertical="center"/>
    </xf>
    <xf numFmtId="0" fontId="0" fillId="5" borderId="40" xfId="0" applyFill="1" applyBorder="1" applyAlignment="1">
      <alignment horizontal="center" vertical="center" wrapText="1"/>
    </xf>
    <xf numFmtId="0" fontId="0" fillId="5" borderId="37" xfId="0" applyFill="1" applyBorder="1" applyAlignment="1">
      <alignment horizontal="center" vertical="center" wrapText="1"/>
    </xf>
    <xf numFmtId="0" fontId="0" fillId="5" borderId="27" xfId="0" applyFill="1" applyBorder="1" applyAlignment="1">
      <alignment horizontal="center"/>
    </xf>
    <xf numFmtId="0" fontId="0" fillId="5" borderId="28" xfId="0" applyFill="1" applyBorder="1" applyAlignment="1">
      <alignment horizontal="center"/>
    </xf>
    <xf numFmtId="0" fontId="3" fillId="0" borderId="97" xfId="0" applyFont="1" applyBorder="1" applyAlignment="1">
      <alignment horizontal="center" vertical="center" wrapText="1"/>
    </xf>
    <xf numFmtId="0" fontId="3" fillId="4" borderId="90" xfId="0" applyFont="1" applyFill="1" applyBorder="1" applyAlignment="1">
      <alignment horizontal="center" wrapText="1"/>
    </xf>
    <xf numFmtId="0" fontId="3" fillId="4" borderId="89" xfId="0" applyFont="1" applyFill="1" applyBorder="1" applyAlignment="1">
      <alignment horizontal="center" wrapText="1"/>
    </xf>
    <xf numFmtId="166" fontId="3" fillId="0" borderId="79" xfId="0" applyNumberFormat="1" applyFont="1" applyBorder="1" applyAlignment="1">
      <alignment horizontal="center" wrapText="1"/>
    </xf>
    <xf numFmtId="166" fontId="3" fillId="0" borderId="51" xfId="0" applyNumberFormat="1" applyFont="1" applyBorder="1" applyAlignment="1">
      <alignment horizontal="center" wrapText="1"/>
    </xf>
    <xf numFmtId="0" fontId="3" fillId="6" borderId="87" xfId="0" applyFont="1" applyFill="1" applyBorder="1" applyAlignment="1">
      <alignment horizontal="center" vertical="center" wrapText="1"/>
    </xf>
    <xf numFmtId="0" fontId="3" fillId="6" borderId="88" xfId="0" applyFont="1" applyFill="1" applyBorder="1" applyAlignment="1">
      <alignment horizontal="center" vertical="center" wrapText="1"/>
    </xf>
    <xf numFmtId="0" fontId="0" fillId="4" borderId="91" xfId="0" applyFill="1" applyBorder="1" applyAlignment="1">
      <alignment horizontal="center" vertical="center" wrapText="1"/>
    </xf>
    <xf numFmtId="0" fontId="0" fillId="4" borderId="90" xfId="0" applyFill="1" applyBorder="1" applyAlignment="1">
      <alignment horizontal="center" vertical="center" wrapText="1"/>
    </xf>
    <xf numFmtId="0" fontId="0" fillId="0" borderId="115" xfId="0" applyBorder="1" applyAlignment="1">
      <alignment horizontal="center" vertical="center"/>
    </xf>
    <xf numFmtId="0" fontId="0" fillId="0" borderId="105" xfId="0" applyBorder="1" applyAlignment="1">
      <alignment horizontal="center" vertical="center"/>
    </xf>
    <xf numFmtId="0" fontId="0" fillId="0" borderId="118" xfId="0" applyBorder="1" applyAlignment="1">
      <alignment horizontal="center" vertical="center"/>
    </xf>
    <xf numFmtId="0" fontId="0" fillId="0" borderId="62" xfId="0" applyBorder="1" applyAlignment="1">
      <alignment horizontal="center" vertical="center" wrapText="1"/>
    </xf>
    <xf numFmtId="0" fontId="0" fillId="0" borderId="8" xfId="0" applyBorder="1" applyAlignment="1">
      <alignment horizontal="center" vertical="center" wrapText="1"/>
    </xf>
    <xf numFmtId="0" fontId="0" fillId="0" borderId="25" xfId="0" applyBorder="1" applyAlignment="1">
      <alignment horizontal="center" vertical="center" wrapText="1"/>
    </xf>
    <xf numFmtId="0" fontId="0" fillId="0" borderId="116" xfId="0" applyBorder="1" applyAlignment="1">
      <alignment horizontal="center" vertical="center" wrapText="1"/>
    </xf>
    <xf numFmtId="0" fontId="0" fillId="0" borderId="117" xfId="0" applyBorder="1" applyAlignment="1">
      <alignment horizontal="center" vertical="center" wrapText="1"/>
    </xf>
    <xf numFmtId="0" fontId="0" fillId="0" borderId="119" xfId="0" applyBorder="1" applyAlignment="1">
      <alignment horizontal="center" vertical="center" wrapText="1"/>
    </xf>
    <xf numFmtId="0" fontId="6" fillId="5" borderId="101" xfId="0" applyFont="1" applyFill="1" applyBorder="1" applyAlignment="1">
      <alignment horizontal="center"/>
    </xf>
    <xf numFmtId="0" fontId="6" fillId="5" borderId="103" xfId="0" applyFont="1" applyFill="1" applyBorder="1" applyAlignment="1">
      <alignment horizontal="center"/>
    </xf>
    <xf numFmtId="0" fontId="6" fillId="0" borderId="61"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46" xfId="0" applyFont="1" applyBorder="1" applyAlignment="1">
      <alignment horizontal="center" vertical="center" wrapText="1"/>
    </xf>
    <xf numFmtId="0" fontId="6" fillId="0" borderId="84" xfId="0" applyFont="1" applyBorder="1" applyAlignment="1">
      <alignment horizontal="center" vertical="center" wrapText="1"/>
    </xf>
    <xf numFmtId="165" fontId="0" fillId="0" borderId="12" xfId="0" applyNumberFormat="1" applyBorder="1" applyAlignment="1">
      <alignment horizontal="center"/>
    </xf>
    <xf numFmtId="165" fontId="0" fillId="0" borderId="32" xfId="0" applyNumberFormat="1" applyBorder="1" applyAlignment="1">
      <alignment horizontal="center"/>
    </xf>
    <xf numFmtId="43" fontId="7" fillId="9" borderId="12" xfId="0" applyNumberFormat="1" applyFont="1" applyFill="1" applyBorder="1" applyAlignment="1">
      <alignment horizontal="center"/>
    </xf>
    <xf numFmtId="43" fontId="7" fillId="9" borderId="32" xfId="0" applyNumberFormat="1" applyFont="1" applyFill="1" applyBorder="1" applyAlignment="1">
      <alignment horizontal="center"/>
    </xf>
    <xf numFmtId="43" fontId="3" fillId="8" borderId="12" xfId="0" applyNumberFormat="1" applyFont="1" applyFill="1" applyBorder="1" applyAlignment="1">
      <alignment horizontal="center"/>
    </xf>
    <xf numFmtId="43" fontId="3" fillId="8" borderId="32" xfId="0" applyNumberFormat="1" applyFont="1" applyFill="1" applyBorder="1" applyAlignment="1">
      <alignment horizontal="center"/>
    </xf>
    <xf numFmtId="0" fontId="0" fillId="0" borderId="12" xfId="0" applyBorder="1" applyAlignment="1">
      <alignment horizontal="center"/>
    </xf>
    <xf numFmtId="0" fontId="0" fillId="0" borderId="32" xfId="0" applyBorder="1" applyAlignment="1">
      <alignment horizontal="center"/>
    </xf>
    <xf numFmtId="0" fontId="0" fillId="0" borderId="52"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165" fontId="7" fillId="0" borderId="35" xfId="0" applyNumberFormat="1" applyFont="1" applyBorder="1" applyAlignment="1">
      <alignment horizontal="center"/>
    </xf>
    <xf numFmtId="165" fontId="7" fillId="0" borderId="36" xfId="0" applyNumberFormat="1" applyFont="1" applyBorder="1" applyAlignment="1">
      <alignment horizontal="center"/>
    </xf>
    <xf numFmtId="166" fontId="0" fillId="0" borderId="15" xfId="0" applyNumberFormat="1" applyBorder="1" applyAlignment="1">
      <alignment horizontal="center"/>
    </xf>
    <xf numFmtId="166" fontId="0" fillId="0" borderId="16" xfId="0" applyNumberFormat="1" applyBorder="1" applyAlignment="1">
      <alignment horizontal="center"/>
    </xf>
    <xf numFmtId="166" fontId="7" fillId="0" borderId="35" xfId="0" applyNumberFormat="1" applyFont="1" applyBorder="1" applyAlignment="1">
      <alignment horizontal="center"/>
    </xf>
    <xf numFmtId="166" fontId="7" fillId="0" borderId="36" xfId="0" applyNumberFormat="1" applyFont="1" applyBorder="1" applyAlignment="1">
      <alignment horizontal="center"/>
    </xf>
    <xf numFmtId="43" fontId="0" fillId="0" borderId="12" xfId="0" applyNumberFormat="1" applyBorder="1" applyAlignment="1">
      <alignment horizontal="center"/>
    </xf>
    <xf numFmtId="43" fontId="0" fillId="0" borderId="32" xfId="0" applyNumberFormat="1" applyBorder="1" applyAlignment="1">
      <alignment horizontal="center"/>
    </xf>
    <xf numFmtId="9" fontId="6" fillId="0" borderId="109" xfId="2" applyFont="1" applyFill="1" applyBorder="1" applyAlignment="1">
      <alignment horizontal="center" vertical="center"/>
    </xf>
    <xf numFmtId="9" fontId="6" fillId="0" borderId="110" xfId="2" applyFont="1" applyFill="1" applyBorder="1" applyAlignment="1">
      <alignment horizontal="center" vertical="center"/>
    </xf>
    <xf numFmtId="0" fontId="0" fillId="0" borderId="114" xfId="0" applyBorder="1" applyAlignment="1">
      <alignment horizontal="center"/>
    </xf>
    <xf numFmtId="0" fontId="0" fillId="0" borderId="0" xfId="0" applyAlignment="1">
      <alignment horizontal="center"/>
    </xf>
    <xf numFmtId="0" fontId="0" fillId="0" borderId="112" xfId="0" applyBorder="1" applyAlignment="1">
      <alignment horizontal="center"/>
    </xf>
    <xf numFmtId="0" fontId="0" fillId="0" borderId="107" xfId="0" applyBorder="1" applyAlignment="1">
      <alignment horizontal="center"/>
    </xf>
    <xf numFmtId="0" fontId="0" fillId="0" borderId="5" xfId="0" applyBorder="1" applyAlignment="1">
      <alignment horizontal="center"/>
    </xf>
    <xf numFmtId="0" fontId="0" fillId="0" borderId="106" xfId="0" applyBorder="1" applyAlignment="1">
      <alignment horizontal="center"/>
    </xf>
    <xf numFmtId="0" fontId="3" fillId="4" borderId="1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0" borderId="130" xfId="0" applyFont="1" applyBorder="1" applyAlignment="1">
      <alignment horizontal="center"/>
    </xf>
    <xf numFmtId="0" fontId="3" fillId="0" borderId="131" xfId="0" applyFont="1" applyBorder="1" applyAlignment="1">
      <alignment horizontal="center"/>
    </xf>
    <xf numFmtId="0" fontId="3" fillId="0" borderId="132" xfId="0" applyFont="1" applyBorder="1" applyAlignment="1">
      <alignment horizontal="center"/>
    </xf>
    <xf numFmtId="0" fontId="0" fillId="0" borderId="127" xfId="0" applyBorder="1" applyAlignment="1">
      <alignment horizontal="center" vertical="center" wrapText="1"/>
    </xf>
    <xf numFmtId="0" fontId="0" fillId="0" borderId="110" xfId="0" applyBorder="1" applyAlignment="1">
      <alignment horizontal="center" vertical="center" wrapText="1"/>
    </xf>
    <xf numFmtId="0" fontId="0" fillId="0" borderId="105" xfId="0" applyBorder="1" applyAlignment="1">
      <alignment horizontal="center" vertical="center" wrapText="1"/>
    </xf>
    <xf numFmtId="0" fontId="0" fillId="0" borderId="107" xfId="0" applyBorder="1" applyAlignment="1">
      <alignment horizontal="center" vertical="center" wrapText="1"/>
    </xf>
    <xf numFmtId="0" fontId="0" fillId="0" borderId="134" xfId="0" applyBorder="1" applyAlignment="1">
      <alignment horizontal="center" vertical="center" wrapText="1"/>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6" fillId="0" borderId="105" xfId="0" applyFont="1" applyBorder="1" applyAlignment="1">
      <alignment horizontal="center" vertical="center" wrapText="1"/>
    </xf>
    <xf numFmtId="0" fontId="6" fillId="0" borderId="107" xfId="0" applyFont="1" applyBorder="1" applyAlignment="1">
      <alignment horizontal="center" vertical="center" wrapText="1"/>
    </xf>
    <xf numFmtId="172" fontId="0" fillId="0" borderId="56" xfId="3" applyNumberFormat="1" applyFont="1" applyFill="1" applyBorder="1"/>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0" fillId="5" borderId="32" xfId="0" applyFill="1" applyBorder="1" applyAlignment="1">
      <alignment horizontal="center" vertical="center"/>
    </xf>
    <xf numFmtId="43" fontId="0" fillId="0" borderId="0" xfId="0" applyNumberFormat="1" applyBorder="1"/>
    <xf numFmtId="166" fontId="0" fillId="0" borderId="0" xfId="0" applyNumberFormat="1" applyBorder="1"/>
    <xf numFmtId="0" fontId="0" fillId="5" borderId="12" xfId="0" applyFill="1" applyBorder="1" applyAlignment="1">
      <alignment horizontal="center" vertical="center"/>
    </xf>
    <xf numFmtId="9" fontId="6" fillId="0" borderId="109" xfId="2" applyFont="1" applyFill="1" applyBorder="1" applyAlignment="1">
      <alignment vertical="center"/>
    </xf>
    <xf numFmtId="172" fontId="0" fillId="0" borderId="0" xfId="3" applyNumberFormat="1" applyFont="1" applyFill="1" applyBorder="1"/>
    <xf numFmtId="9" fontId="6" fillId="0" borderId="135" xfId="2" applyFont="1" applyFill="1" applyBorder="1" applyAlignment="1">
      <alignment vertical="center"/>
    </xf>
    <xf numFmtId="0" fontId="0" fillId="5" borderId="77" xfId="0" applyFill="1" applyBorder="1" applyAlignment="1">
      <alignment vertical="center"/>
    </xf>
    <xf numFmtId="0" fontId="0" fillId="5" borderId="53" xfId="0" applyFill="1" applyBorder="1" applyAlignment="1">
      <alignment horizontal="center" vertical="center" wrapText="1"/>
    </xf>
    <xf numFmtId="0" fontId="0" fillId="5" borderId="21" xfId="0" applyFill="1" applyBorder="1" applyAlignment="1">
      <alignment horizontal="center" vertical="center" wrapText="1"/>
    </xf>
    <xf numFmtId="0" fontId="0" fillId="5" borderId="62" xfId="0" applyFill="1" applyBorder="1" applyAlignment="1">
      <alignment horizontal="center" vertical="center" wrapText="1"/>
    </xf>
    <xf numFmtId="0" fontId="0" fillId="5" borderId="9" xfId="0"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32" xfId="0" applyBorder="1" applyAlignment="1">
      <alignment horizontal="center" vertical="center" wrapText="1"/>
    </xf>
    <xf numFmtId="166" fontId="0" fillId="0" borderId="7" xfId="0" applyNumberFormat="1" applyBorder="1"/>
    <xf numFmtId="43" fontId="0" fillId="0" borderId="30" xfId="0" applyNumberFormat="1" applyFill="1" applyBorder="1"/>
    <xf numFmtId="43" fontId="0" fillId="0" borderId="0" xfId="0" applyNumberFormat="1" applyFill="1" applyBorder="1"/>
    <xf numFmtId="0" fontId="0" fillId="5" borderId="139" xfId="0" applyFill="1" applyBorder="1" applyAlignment="1">
      <alignment horizontal="center" vertical="center" wrapText="1"/>
    </xf>
    <xf numFmtId="0" fontId="0" fillId="5" borderId="140" xfId="0" applyFill="1" applyBorder="1" applyAlignment="1">
      <alignment horizontal="center" vertical="center" wrapText="1"/>
    </xf>
    <xf numFmtId="0" fontId="0" fillId="5" borderId="141" xfId="0" applyFill="1" applyBorder="1" applyAlignment="1">
      <alignment horizontal="center" vertical="center" wrapText="1"/>
    </xf>
    <xf numFmtId="166" fontId="0" fillId="0" borderId="112" xfId="0" applyNumberFormat="1" applyBorder="1"/>
    <xf numFmtId="172" fontId="0" fillId="0" borderId="124" xfId="3" applyNumberFormat="1" applyFont="1" applyFill="1" applyBorder="1"/>
    <xf numFmtId="166" fontId="0" fillId="0" borderId="142" xfId="3" applyNumberFormat="1" applyFont="1" applyFill="1" applyBorder="1"/>
    <xf numFmtId="9" fontId="6" fillId="0" borderId="53" xfId="2" applyFont="1" applyFill="1" applyBorder="1" applyAlignment="1">
      <alignment vertical="center"/>
    </xf>
    <xf numFmtId="0" fontId="0" fillId="0" borderId="144" xfId="0" applyBorder="1" applyAlignment="1">
      <alignment vertical="center" wrapText="1"/>
    </xf>
    <xf numFmtId="9" fontId="6" fillId="0" borderId="144" xfId="2" applyFont="1" applyFill="1" applyBorder="1" applyAlignment="1">
      <alignment vertical="center"/>
    </xf>
    <xf numFmtId="9" fontId="6" fillId="0" borderId="145" xfId="2" applyFont="1" applyFill="1" applyBorder="1" applyAlignment="1">
      <alignment vertical="center"/>
    </xf>
    <xf numFmtId="0" fontId="0" fillId="0" borderId="146" xfId="0" applyBorder="1"/>
    <xf numFmtId="0" fontId="0" fillId="0" borderId="147" xfId="0" applyBorder="1"/>
    <xf numFmtId="0" fontId="0" fillId="0" borderId="148" xfId="0" applyBorder="1"/>
    <xf numFmtId="172" fontId="0" fillId="0" borderId="149" xfId="3" applyNumberFormat="1" applyFont="1" applyFill="1" applyBorder="1"/>
    <xf numFmtId="174" fontId="0" fillId="0" borderId="149" xfId="3" applyNumberFormat="1" applyFont="1" applyFill="1" applyBorder="1"/>
    <xf numFmtId="171" fontId="0" fillId="7" borderId="5" xfId="2" applyNumberFormat="1" applyFont="1" applyFill="1" applyBorder="1" applyAlignment="1">
      <alignment horizontal="center" vertical="center"/>
    </xf>
    <xf numFmtId="174" fontId="3" fillId="0" borderId="143" xfId="3" applyNumberFormat="1" applyFont="1" applyFill="1" applyBorder="1"/>
    <xf numFmtId="174" fontId="0" fillId="0" borderId="56" xfId="3" applyNumberFormat="1" applyFont="1" applyFill="1" applyBorder="1"/>
    <xf numFmtId="174" fontId="0" fillId="0" borderId="22" xfId="3" applyNumberFormat="1" applyFont="1" applyBorder="1"/>
    <xf numFmtId="9" fontId="6" fillId="0" borderId="150" xfId="2" applyFont="1" applyFill="1" applyBorder="1" applyAlignment="1">
      <alignment vertical="center"/>
    </xf>
    <xf numFmtId="172" fontId="0" fillId="0" borderId="152" xfId="3" applyNumberFormat="1" applyFont="1" applyFill="1" applyBorder="1"/>
    <xf numFmtId="9" fontId="6" fillId="0" borderId="151" xfId="2" applyFont="1" applyFill="1" applyBorder="1" applyAlignment="1">
      <alignment vertical="center"/>
    </xf>
    <xf numFmtId="9" fontId="5" fillId="0" borderId="136" xfId="2" applyFont="1" applyFill="1" applyBorder="1" applyAlignment="1">
      <alignment horizontal="center" vertical="center"/>
    </xf>
    <xf numFmtId="9" fontId="5" fillId="0" borderId="137" xfId="2" applyFont="1" applyFill="1" applyBorder="1" applyAlignment="1">
      <alignment horizontal="center" vertical="center"/>
    </xf>
    <xf numFmtId="9" fontId="5" fillId="0" borderId="138" xfId="2" applyFont="1" applyFill="1" applyBorder="1" applyAlignment="1">
      <alignment horizontal="center" vertical="center"/>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11</xdr:col>
      <xdr:colOff>144780</xdr:colOff>
      <xdr:row>37</xdr:row>
      <xdr:rowOff>15240</xdr:rowOff>
    </xdr:from>
    <xdr:to>
      <xdr:col>23</xdr:col>
      <xdr:colOff>563880</xdr:colOff>
      <xdr:row>60</xdr:row>
      <xdr:rowOff>22860</xdr:rowOff>
    </xdr:to>
    <xdr:sp macro="" textlink="">
      <xdr:nvSpPr>
        <xdr:cNvPr id="3" name="TextBox 2">
          <a:extLst>
            <a:ext uri="{FF2B5EF4-FFF2-40B4-BE49-F238E27FC236}">
              <a16:creationId xmlns:a16="http://schemas.microsoft.com/office/drawing/2014/main" id="{ACEF1C8D-9B53-4409-91BA-192AA0F03723}"/>
            </a:ext>
          </a:extLst>
        </xdr:cNvPr>
        <xdr:cNvSpPr txBox="1"/>
      </xdr:nvSpPr>
      <xdr:spPr>
        <a:xfrm>
          <a:off x="5585460" y="6972300"/>
          <a:ext cx="7345680" cy="4351020"/>
        </a:xfrm>
        <a:prstGeom prst="rect">
          <a:avLst/>
        </a:prstGeom>
        <a:solidFill>
          <a:schemeClr val="lt1"/>
        </a:solidFill>
        <a:ln w="38100" cmpd="sng">
          <a:solidFill>
            <a:schemeClr val="tx2">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u="sng">
              <a:solidFill>
                <a:schemeClr val="dk1"/>
              </a:solidFill>
              <a:effectLst/>
              <a:latin typeface="+mn-lt"/>
              <a:ea typeface="+mn-ea"/>
              <a:cs typeface="+mn-cs"/>
            </a:rPr>
            <a:t>The current federal</a:t>
          </a:r>
          <a:r>
            <a:rPr lang="en-US" sz="1200" b="1" i="0" u="sng" baseline="0">
              <a:solidFill>
                <a:schemeClr val="dk1"/>
              </a:solidFill>
              <a:effectLst/>
              <a:latin typeface="+mn-lt"/>
              <a:ea typeface="+mn-ea"/>
              <a:cs typeface="+mn-cs"/>
            </a:rPr>
            <a:t> fuel tax system is the most efficient, cost effective and fair way to fund the Highway Trust Fund</a:t>
          </a:r>
          <a:r>
            <a:rPr lang="en-US" sz="12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Current administrative cost is 1% of revenue</a:t>
          </a:r>
          <a:r>
            <a:rPr lang="en-US" sz="1200" b="0"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Rebranding the system to a </a:t>
          </a:r>
          <a:r>
            <a:rPr lang="en-US" sz="1100" b="1" i="0" baseline="0">
              <a:solidFill>
                <a:srgbClr val="FF0000"/>
              </a:solidFill>
              <a:effectLst/>
              <a:latin typeface="+mn-lt"/>
              <a:ea typeface="+mn-ea"/>
              <a:cs typeface="+mn-cs"/>
            </a:rPr>
            <a:t>GALLON BASED USER FEE (GBUF) </a:t>
          </a:r>
          <a:r>
            <a:rPr lang="en-US" sz="1100" b="0" i="0" baseline="0">
              <a:solidFill>
                <a:sysClr val="windowText" lastClr="000000"/>
              </a:solidFill>
              <a:effectLst/>
              <a:latin typeface="+mn-lt"/>
              <a:ea typeface="+mn-ea"/>
              <a:cs typeface="+mn-cs"/>
            </a:rPr>
            <a:t>would create </a:t>
          </a:r>
          <a:r>
            <a:rPr lang="en-US" sz="1100" b="0" i="0">
              <a:solidFill>
                <a:schemeClr val="dk1"/>
              </a:solidFill>
              <a:effectLst/>
              <a:latin typeface="+mn-lt"/>
              <a:ea typeface="+mn-ea"/>
              <a:cs typeface="+mn-cs"/>
            </a:rPr>
            <a:t>a transparent and more effective  way to show the public</a:t>
          </a:r>
          <a:r>
            <a:rPr lang="en-US" sz="1100" b="0" i="0" baseline="0">
              <a:solidFill>
                <a:schemeClr val="dk1"/>
              </a:solidFill>
              <a:effectLst/>
              <a:latin typeface="+mn-lt"/>
              <a:ea typeface="+mn-ea"/>
              <a:cs typeface="+mn-cs"/>
            </a:rPr>
            <a:t> how the HTF is being funded.  It is a usage fee directly tied to highway use and miles traveled based on MPG.  Increases in average mpg over time would have a negative impact on revenue, however, the </a:t>
          </a:r>
          <a:r>
            <a:rPr lang="en-US" sz="1100" b="1" i="0" baseline="0">
              <a:solidFill>
                <a:srgbClr val="FF0000"/>
              </a:solidFill>
              <a:effectLst/>
              <a:latin typeface="+mn-lt"/>
              <a:ea typeface="+mn-ea"/>
              <a:cs typeface="+mn-cs"/>
            </a:rPr>
            <a:t>ANNUAL REGISTRATION  USER FEE for EVs and Hybrids of  $250/$100</a:t>
          </a: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respectively would cover the lost revenue.  A 40% conversion of gasoline power passenger vehicles to electric vehicles over the next 10 years would </a:t>
          </a:r>
          <a:r>
            <a:rPr lang="en-US" sz="1100" b="0" i="0" u="sng" baseline="0">
              <a:solidFill>
                <a:schemeClr val="dk1"/>
              </a:solidFill>
              <a:effectLst/>
              <a:latin typeface="+mn-lt"/>
              <a:ea typeface="+mn-ea"/>
              <a:cs typeface="+mn-cs"/>
            </a:rPr>
            <a:t>increase</a:t>
          </a:r>
          <a:r>
            <a:rPr lang="en-US" sz="1100" b="0" i="0" baseline="0">
              <a:solidFill>
                <a:schemeClr val="dk1"/>
              </a:solidFill>
              <a:effectLst/>
              <a:latin typeface="+mn-lt"/>
              <a:ea typeface="+mn-ea"/>
              <a:cs typeface="+mn-cs"/>
            </a:rPr>
            <a:t> revenue by $47.5 billion. A 2% annual increase in passenger vehicle mpg over the next 10 years would decrease revenue by $43.7 billion.</a:t>
          </a:r>
        </a:p>
        <a:p>
          <a:endParaRPr lang="en-US" sz="1100" b="0" i="0" u="none" strike="noStrike" baseline="0">
            <a:solidFill>
              <a:schemeClr val="dk1"/>
            </a:solidFill>
            <a:effectLst/>
            <a:latin typeface="+mn-lt"/>
            <a:ea typeface="+mn-ea"/>
            <a:cs typeface="+mn-cs"/>
          </a:endParaRPr>
        </a:p>
        <a:p>
          <a:r>
            <a:rPr lang="en-US" sz="1100" b="0" i="0" u="none" strike="noStrike" baseline="0">
              <a:solidFill>
                <a:schemeClr val="dk1"/>
              </a:solidFill>
              <a:effectLst/>
              <a:latin typeface="+mn-lt"/>
              <a:ea typeface="+mn-ea"/>
              <a:cs typeface="+mn-cs"/>
            </a:rPr>
            <a:t>The average annual additional GBUF cost to users per vehicle based on 2024 gallons would </a:t>
          </a:r>
          <a:r>
            <a:rPr lang="en-US" sz="1100" b="1" i="0" u="none" strike="noStrike" baseline="0">
              <a:solidFill>
                <a:srgbClr val="FF0000"/>
              </a:solidFill>
              <a:effectLst/>
              <a:latin typeface="+mn-lt"/>
              <a:ea typeface="+mn-ea"/>
              <a:cs typeface="+mn-cs"/>
            </a:rPr>
            <a:t>$125</a:t>
          </a:r>
          <a:r>
            <a:rPr lang="en-US" sz="1100" b="1" i="0" u="none" strike="noStrike" baseline="0">
              <a:solidFill>
                <a:sysClr val="windowText" lastClr="000000"/>
              </a:solidFill>
              <a:effectLst/>
              <a:latin typeface="+mn-lt"/>
              <a:ea typeface="+mn-ea"/>
              <a:cs typeface="+mn-cs"/>
            </a:rPr>
            <a:t>.</a:t>
          </a:r>
        </a:p>
        <a:p>
          <a:r>
            <a:rPr lang="en-US" sz="1100" b="0" i="0" u="none" strike="noStrike" baseline="0">
              <a:solidFill>
                <a:sysClr val="windowText" lastClr="000000"/>
              </a:solidFill>
              <a:effectLst/>
              <a:latin typeface="+mn-lt"/>
              <a:ea typeface="+mn-ea"/>
              <a:cs typeface="+mn-cs"/>
            </a:rPr>
            <a:t>The average annual additional GBUF cost to users per vehicle based on 15,000 miles and an mpg of 25 would be  </a:t>
          </a:r>
          <a:r>
            <a:rPr lang="en-US" sz="1100" b="1" i="0" u="none" strike="noStrike" baseline="0">
              <a:solidFill>
                <a:srgbClr val="FF0000"/>
              </a:solidFill>
              <a:effectLst/>
              <a:latin typeface="+mn-lt"/>
              <a:ea typeface="+mn-ea"/>
              <a:cs typeface="+mn-cs"/>
            </a:rPr>
            <a:t>$129</a:t>
          </a:r>
          <a:r>
            <a:rPr lang="en-US" sz="1100" b="1" i="0" u="none" strike="noStrike" baseline="0">
              <a:solidFill>
                <a:sysClr val="windowText" lastClr="000000"/>
              </a:solidFill>
              <a:effectLst/>
              <a:latin typeface="+mn-lt"/>
              <a:ea typeface="+mn-ea"/>
              <a:cs typeface="+mn-cs"/>
            </a:rPr>
            <a:t>.</a:t>
          </a:r>
        </a:p>
        <a:p>
          <a:r>
            <a:rPr lang="en-US" sz="1100" b="0" i="0" u="none" strike="noStrike" baseline="0">
              <a:solidFill>
                <a:sysClr val="windowText" lastClr="000000"/>
              </a:solidFill>
              <a:effectLst/>
              <a:latin typeface="+mn-lt"/>
              <a:ea typeface="+mn-ea"/>
              <a:cs typeface="+mn-cs"/>
            </a:rPr>
            <a:t>The average annual additional GBUF cost per household would be </a:t>
          </a:r>
          <a:r>
            <a:rPr lang="en-US" sz="1100" b="1" i="0" u="none" strike="noStrike" baseline="0">
              <a:solidFill>
                <a:srgbClr val="FF0000"/>
              </a:solidFill>
              <a:effectLst/>
              <a:latin typeface="+mn-lt"/>
              <a:ea typeface="+mn-ea"/>
              <a:cs typeface="+mn-cs"/>
            </a:rPr>
            <a:t>$236</a:t>
          </a:r>
          <a:r>
            <a:rPr lang="en-US" sz="1100" b="0" i="0" u="none" strike="noStrike" baseline="0">
              <a:solidFill>
                <a:sysClr val="windowText" lastClr="000000"/>
              </a:solidFill>
              <a:effectLst/>
              <a:latin typeface="+mn-lt"/>
              <a:ea typeface="+mn-ea"/>
              <a:cs typeface="+mn-cs"/>
            </a:rPr>
            <a:t>.</a:t>
          </a:r>
        </a:p>
        <a:p>
          <a:r>
            <a:rPr lang="en-US" sz="1100" b="0" i="0" u="none" strike="noStrike" baseline="0">
              <a:solidFill>
                <a:sysClr val="windowText" lastClr="000000"/>
              </a:solidFill>
              <a:effectLst/>
              <a:latin typeface="+mn-lt"/>
              <a:ea typeface="+mn-ea"/>
              <a:cs typeface="+mn-cs"/>
            </a:rPr>
            <a:t>Proposed EV registration fee is </a:t>
          </a:r>
          <a:r>
            <a:rPr lang="en-US" sz="1100" b="1" i="0" u="none" strike="noStrike" baseline="0">
              <a:solidFill>
                <a:srgbClr val="FF0000"/>
              </a:solidFill>
              <a:effectLst/>
              <a:latin typeface="+mn-lt"/>
              <a:ea typeface="+mn-ea"/>
              <a:cs typeface="+mn-cs"/>
            </a:rPr>
            <a:t>$250 </a:t>
          </a:r>
          <a:r>
            <a:rPr lang="en-US" sz="1100" b="0" i="0" u="none" strike="noStrike" baseline="0">
              <a:solidFill>
                <a:sysClr val="windowText" lastClr="000000"/>
              </a:solidFill>
              <a:effectLst/>
              <a:latin typeface="+mn-lt"/>
              <a:ea typeface="+mn-ea"/>
              <a:cs typeface="+mn-cs"/>
            </a:rPr>
            <a:t>per vehicle and </a:t>
          </a:r>
          <a:r>
            <a:rPr lang="en-US" sz="1100" b="1" i="0" u="none" strike="noStrike" baseline="0">
              <a:solidFill>
                <a:srgbClr val="FF0000"/>
              </a:solidFill>
              <a:effectLst/>
              <a:latin typeface="+mn-lt"/>
              <a:ea typeface="+mn-ea"/>
              <a:cs typeface="+mn-cs"/>
            </a:rPr>
            <a:t>$100 </a:t>
          </a:r>
          <a:r>
            <a:rPr lang="en-US" sz="1100" b="0" i="0" u="none" strike="noStrike" baseline="0">
              <a:solidFill>
                <a:sysClr val="windowText" lastClr="000000"/>
              </a:solidFill>
              <a:effectLst/>
              <a:latin typeface="+mn-lt"/>
              <a:ea typeface="+mn-ea"/>
              <a:cs typeface="+mn-cs"/>
            </a:rPr>
            <a:t>for Hybrids.</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According to </a:t>
          </a:r>
          <a:r>
            <a:rPr lang="en-US" sz="1100" b="1" i="0" u="sng" strike="noStrike" baseline="0">
              <a:solidFill>
                <a:schemeClr val="dk1"/>
              </a:solidFill>
              <a:effectLst/>
              <a:latin typeface="+mn-lt"/>
              <a:ea typeface="+mn-ea"/>
              <a:cs typeface="+mn-cs"/>
            </a:rPr>
            <a:t>THE STATUS OF THE HIGHWAY TRUST FUND:2023 UPDATE</a:t>
          </a:r>
          <a:r>
            <a:rPr lang="en-US" sz="1100" b="0" i="0" u="sng"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published by CBO on 10/18/2023, </a:t>
          </a:r>
          <a:r>
            <a:rPr lang="en-US" sz="1100" b="1" i="0" u="none" strike="noStrike">
              <a:solidFill>
                <a:srgbClr val="FF0000"/>
              </a:solidFill>
              <a:effectLst/>
              <a:latin typeface="+mn-lt"/>
              <a:ea typeface="+mn-ea"/>
              <a:cs typeface="+mn-cs"/>
            </a:rPr>
            <a:t>the cumulative shortfall of the fund over the 2024–2033 period (9 years) is projected to be $181 billion</a:t>
          </a:r>
          <a:r>
            <a:rPr lang="en-US" sz="1100" b="0" i="0" u="none" strike="noStrike">
              <a:solidFill>
                <a:schemeClr val="dk1"/>
              </a:solidFill>
              <a:effectLst/>
              <a:latin typeface="+mn-lt"/>
              <a:ea typeface="+mn-ea"/>
              <a:cs typeface="+mn-cs"/>
            </a:rPr>
            <a:t>.</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With a 117% increase in GBUF and the</a:t>
          </a:r>
          <a:r>
            <a:rPr lang="en-US" sz="1100" b="0" i="0" u="none" strike="noStrike" baseline="0">
              <a:solidFill>
                <a:schemeClr val="dk1"/>
              </a:solidFill>
              <a:effectLst/>
              <a:latin typeface="+mn-lt"/>
              <a:ea typeface="+mn-ea"/>
              <a:cs typeface="+mn-cs"/>
            </a:rPr>
            <a:t> addition of </a:t>
          </a:r>
          <a:r>
            <a:rPr lang="en-US" sz="1100" b="0" i="0" u="none" strike="noStrike">
              <a:solidFill>
                <a:schemeClr val="dk1"/>
              </a:solidFill>
              <a:effectLst/>
              <a:latin typeface="+mn-lt"/>
              <a:ea typeface="+mn-ea"/>
              <a:cs typeface="+mn-cs"/>
            </a:rPr>
            <a:t>a</a:t>
          </a:r>
          <a:r>
            <a:rPr lang="en-US" sz="1100" b="0" i="0" u="none" strike="noStrike" baseline="0">
              <a:solidFill>
                <a:schemeClr val="dk1"/>
              </a:solidFill>
              <a:effectLst/>
              <a:latin typeface="+mn-lt"/>
              <a:ea typeface="+mn-ea"/>
              <a:cs typeface="+mn-cs"/>
            </a:rPr>
            <a:t> $250 and $100 registration fee for EVs and Hybrids respectively, both adjusted for inflation</a:t>
          </a:r>
          <a:r>
            <a:rPr lang="en-US" sz="1100" b="0" i="0" u="none" strike="noStrike">
              <a:solidFill>
                <a:schemeClr val="dk1"/>
              </a:solidFill>
              <a:effectLst/>
              <a:latin typeface="+mn-lt"/>
              <a:ea typeface="+mn-ea"/>
              <a:cs typeface="+mn-cs"/>
            </a:rPr>
            <a:t>, and less</a:t>
          </a:r>
          <a:r>
            <a:rPr lang="en-US" sz="1100" b="0" i="0" u="none" strike="noStrike" baseline="0">
              <a:solidFill>
                <a:schemeClr val="dk1"/>
              </a:solidFill>
              <a:effectLst/>
              <a:latin typeface="+mn-lt"/>
              <a:ea typeface="+mn-ea"/>
              <a:cs typeface="+mn-cs"/>
            </a:rPr>
            <a:t> the repeal of the $6.9 billion FET per year, </a:t>
          </a:r>
          <a:r>
            <a:rPr lang="en-US" sz="1100" b="1" i="0" u="none" strike="noStrike">
              <a:solidFill>
                <a:srgbClr val="FF0000"/>
              </a:solidFill>
              <a:effectLst/>
              <a:latin typeface="+mn-lt"/>
              <a:ea typeface="+mn-ea"/>
              <a:cs typeface="+mn-cs"/>
            </a:rPr>
            <a:t>the shortfall would be covered in less than 4 years</a:t>
          </a:r>
          <a:r>
            <a:rPr lang="en-US" sz="1100" b="1" i="0" u="none" strike="noStrike" baseline="0">
              <a:solidFill>
                <a:srgbClr val="FF0000"/>
              </a:solidFill>
              <a:effectLst/>
              <a:latin typeface="+mn-lt"/>
              <a:ea typeface="+mn-ea"/>
              <a:cs typeface="+mn-cs"/>
            </a:rPr>
            <a:t> with $220.2 billion of additional revenue.  </a:t>
          </a:r>
        </a:p>
        <a:p>
          <a:endParaRPr lang="en-US" sz="1100" b="1" i="0" u="none" strike="noStrik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u="sng">
              <a:solidFill>
                <a:schemeClr val="dk1"/>
              </a:solidFill>
              <a:effectLst/>
              <a:latin typeface="+mn-lt"/>
              <a:ea typeface="+mn-ea"/>
              <a:cs typeface="+mn-cs"/>
            </a:rPr>
            <a:t>The ASCE 2025 Report Card graded Bridges a C and Roads a D+</a:t>
          </a:r>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  </a:t>
          </a:r>
          <a:r>
            <a:rPr lang="en-US" sz="1100" b="0" i="0">
              <a:solidFill>
                <a:schemeClr val="dk1"/>
              </a:solidFill>
              <a:effectLst/>
              <a:latin typeface="+mn-lt"/>
              <a:ea typeface="+mn-ea"/>
              <a:cs typeface="+mn-cs"/>
            </a:rPr>
            <a:t>Bridges received a substantial boost through the Infrastructure Investment and Jobs Act (IIJA), including $27.5 billion for the Bridge Formula Program and $12.5 billion for the Bridge Investment Program. The Bridging the Gap report indicates there is a funding gap of $373 billion over 10 years to bring the nation’s bridges into a state of good repair.  Also despite recent investments, including more than $591 billion since late 2021 from the Infrastructure Investment and Jobs Act (IIJA), the nation’s roadways still face a $684 billion funding gap over the next 10 years.  </a:t>
          </a:r>
          <a:r>
            <a:rPr lang="en-US" sz="1100" b="1">
              <a:solidFill>
                <a:srgbClr val="FF0000"/>
              </a:solidFill>
              <a:effectLst/>
              <a:latin typeface="+mn-lt"/>
              <a:ea typeface="+mn-ea"/>
              <a:cs typeface="+mn-cs"/>
            </a:rPr>
            <a:t>With the above</a:t>
          </a:r>
          <a:r>
            <a:rPr lang="en-US" sz="1100" b="1" baseline="0">
              <a:solidFill>
                <a:srgbClr val="FF0000"/>
              </a:solidFill>
              <a:effectLst/>
              <a:latin typeface="+mn-lt"/>
              <a:ea typeface="+mn-ea"/>
              <a:cs typeface="+mn-cs"/>
            </a:rPr>
            <a:t> changes, The HTF would receive additional revenue of  $651.7 billion or 61.6% </a:t>
          </a:r>
          <a:r>
            <a:rPr lang="en-US" sz="1100" b="1" baseline="0">
              <a:solidFill>
                <a:schemeClr val="dk1"/>
              </a:solidFill>
              <a:effectLst/>
              <a:latin typeface="+mn-lt"/>
              <a:ea typeface="+mn-ea"/>
              <a:cs typeface="+mn-cs"/>
            </a:rPr>
            <a:t> towards the $1.057 trillion gap</a:t>
          </a:r>
          <a:r>
            <a:rPr lang="en-US" sz="1100" b="0" baseline="0">
              <a:solidFill>
                <a:schemeClr val="dk1"/>
              </a:solidFill>
              <a:effectLst/>
              <a:latin typeface="+mn-lt"/>
              <a:ea typeface="+mn-ea"/>
              <a:cs typeface="+mn-cs"/>
            </a:rPr>
            <a:t>.</a:t>
          </a:r>
          <a:endParaRPr lang="en-US" b="1">
            <a:effectLst/>
          </a:endParaRPr>
        </a:p>
        <a:p>
          <a:endParaRPr lang="en-US" sz="1100"/>
        </a:p>
      </xdr:txBody>
    </xdr:sp>
    <xdr:clientData/>
  </xdr:twoCellAnchor>
  <xdr:twoCellAnchor>
    <xdr:from>
      <xdr:col>24</xdr:col>
      <xdr:colOff>38100</xdr:colOff>
      <xdr:row>44</xdr:row>
      <xdr:rowOff>160020</xdr:rowOff>
    </xdr:from>
    <xdr:to>
      <xdr:col>29</xdr:col>
      <xdr:colOff>762000</xdr:colOff>
      <xdr:row>60</xdr:row>
      <xdr:rowOff>38100</xdr:rowOff>
    </xdr:to>
    <xdr:sp macro="" textlink="">
      <xdr:nvSpPr>
        <xdr:cNvPr id="5" name="TextBox 4">
          <a:extLst>
            <a:ext uri="{FF2B5EF4-FFF2-40B4-BE49-F238E27FC236}">
              <a16:creationId xmlns:a16="http://schemas.microsoft.com/office/drawing/2014/main" id="{A8C76516-749A-CD2A-40BF-A47C5159F297}"/>
            </a:ext>
          </a:extLst>
        </xdr:cNvPr>
        <xdr:cNvSpPr txBox="1"/>
      </xdr:nvSpPr>
      <xdr:spPr>
        <a:xfrm>
          <a:off x="13121640" y="8450580"/>
          <a:ext cx="3649980" cy="2887980"/>
        </a:xfrm>
        <a:prstGeom prst="rect">
          <a:avLst/>
        </a:prstGeom>
        <a:solidFill>
          <a:schemeClr val="lt1"/>
        </a:solidFill>
        <a:ln w="38100" cmpd="sng">
          <a:solidFill>
            <a:schemeClr val="tx2">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The increased</a:t>
          </a:r>
          <a:r>
            <a:rPr lang="en-US" sz="1100" b="1" baseline="0"/>
            <a:t> user fee based on 120,000 miles at a 6.5 average mpg would be </a:t>
          </a:r>
          <a:r>
            <a:rPr lang="en-US" sz="1100" b="1" baseline="0">
              <a:solidFill>
                <a:srgbClr val="FF0000"/>
              </a:solidFill>
            </a:rPr>
            <a:t>$5,262 </a:t>
          </a:r>
          <a:r>
            <a:rPr lang="en-US" sz="1100" b="1" baseline="0"/>
            <a:t>per vehicle</a:t>
          </a:r>
          <a:r>
            <a:rPr lang="en-US" sz="1100" baseline="0">
              <a:solidFill>
                <a:sysClr val="windowText" lastClr="000000"/>
              </a:solidFill>
            </a:rPr>
            <a:t>.  </a:t>
          </a:r>
          <a:r>
            <a:rPr lang="en-US" sz="1100" b="1" baseline="0">
              <a:solidFill>
                <a:sysClr val="windowText" lastClr="000000"/>
              </a:solidFill>
            </a:rPr>
            <a:t>Unlike an annual registration user fee of $5,000-$6,000, </a:t>
          </a:r>
          <a:r>
            <a:rPr lang="en-US" sz="1100" b="1" baseline="0">
              <a:solidFill>
                <a:srgbClr val="FF0000"/>
              </a:solidFill>
            </a:rPr>
            <a:t>the GBUF is directly tied to miles traveled based on actual mpg which is much more fair and equitable.  It is also a pay as you go system which does not place a cash flow financial burden on trucking companies</a:t>
          </a:r>
          <a:r>
            <a:rPr lang="en-US" sz="1100" b="1" i="1" baseline="0">
              <a:solidFill>
                <a:sysClr val="windowText" lastClr="000000"/>
              </a:solidFill>
            </a:rPr>
            <a:t>, </a:t>
          </a:r>
          <a:r>
            <a:rPr lang="en-US" sz="1100" b="1" i="1" u="sng" baseline="0">
              <a:solidFill>
                <a:sysClr val="windowText" lastClr="000000"/>
              </a:solidFill>
            </a:rPr>
            <a:t>especially smaller operators</a:t>
          </a:r>
          <a:r>
            <a:rPr lang="en-US" sz="1100" b="1" baseline="0">
              <a:solidFill>
                <a:srgbClr val="FF0000"/>
              </a:solidFill>
            </a:rPr>
            <a:t>.</a:t>
          </a:r>
          <a:r>
            <a:rPr lang="en-US" sz="1100" baseline="0"/>
            <a:t>  Since the</a:t>
          </a:r>
          <a:r>
            <a:rPr lang="en-US" sz="1100" baseline="0">
              <a:solidFill>
                <a:schemeClr val="dk1"/>
              </a:solidFill>
              <a:effectLst/>
              <a:latin typeface="+mn-lt"/>
              <a:ea typeface="+mn-ea"/>
              <a:cs typeface="+mn-cs"/>
            </a:rPr>
            <a:t> more miles a vehicle travels increases the total user fee, it</a:t>
          </a:r>
          <a:r>
            <a:rPr lang="en-US" sz="1100" baseline="0"/>
            <a:t> incentivizes companies and drivers to upgrade their older tractors to tractors with better technology which increases mpg and also reduces engine emissions.  Coupled with the elimination of the FET which further incentivizes the purchase of newer equipment, </a:t>
          </a:r>
          <a:r>
            <a:rPr lang="en-US" sz="1100" b="1" u="sng" baseline="0">
              <a:solidFill>
                <a:srgbClr val="FF0000"/>
              </a:solidFill>
            </a:rPr>
            <a:t>it would make significant progress in reducing the trucking industry's carbon footprint</a:t>
          </a:r>
          <a:r>
            <a:rPr lang="en-US" sz="1100" b="1" u="sng" baseline="0">
              <a:solidFill>
                <a:sysClr val="windowText" lastClr="000000"/>
              </a:solidFill>
            </a:rPr>
            <a:t> </a:t>
          </a:r>
          <a:r>
            <a:rPr lang="en-US" sz="1100" b="0" u="none" baseline="0">
              <a:solidFill>
                <a:sysClr val="windowText" lastClr="000000"/>
              </a:solidFill>
            </a:rPr>
            <a:t>as alternative fuels are developed and economically viable electric vehicle technology is developed.</a:t>
          </a:r>
          <a:endParaRPr 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144780</xdr:colOff>
      <xdr:row>37</xdr:row>
      <xdr:rowOff>15240</xdr:rowOff>
    </xdr:from>
    <xdr:to>
      <xdr:col>23</xdr:col>
      <xdr:colOff>563880</xdr:colOff>
      <xdr:row>60</xdr:row>
      <xdr:rowOff>22860</xdr:rowOff>
    </xdr:to>
    <xdr:sp macro="" textlink="">
      <xdr:nvSpPr>
        <xdr:cNvPr id="2" name="TextBox 1">
          <a:extLst>
            <a:ext uri="{FF2B5EF4-FFF2-40B4-BE49-F238E27FC236}">
              <a16:creationId xmlns:a16="http://schemas.microsoft.com/office/drawing/2014/main" id="{E4C38F2F-BF1E-46F1-BBB0-B106831D00C3}"/>
            </a:ext>
          </a:extLst>
        </xdr:cNvPr>
        <xdr:cNvSpPr txBox="1"/>
      </xdr:nvSpPr>
      <xdr:spPr>
        <a:xfrm>
          <a:off x="5440680" y="7111365"/>
          <a:ext cx="7153275" cy="4522470"/>
        </a:xfrm>
        <a:prstGeom prst="rect">
          <a:avLst/>
        </a:prstGeom>
        <a:solidFill>
          <a:schemeClr val="lt1"/>
        </a:solidFill>
        <a:ln w="38100" cmpd="sng">
          <a:solidFill>
            <a:schemeClr val="tx2">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u="sng">
              <a:solidFill>
                <a:schemeClr val="dk1"/>
              </a:solidFill>
              <a:effectLst/>
              <a:latin typeface="+mn-lt"/>
              <a:ea typeface="+mn-ea"/>
              <a:cs typeface="+mn-cs"/>
            </a:rPr>
            <a:t>The current federal</a:t>
          </a:r>
          <a:r>
            <a:rPr lang="en-US" sz="1200" b="1" i="0" u="sng" baseline="0">
              <a:solidFill>
                <a:schemeClr val="dk1"/>
              </a:solidFill>
              <a:effectLst/>
              <a:latin typeface="+mn-lt"/>
              <a:ea typeface="+mn-ea"/>
              <a:cs typeface="+mn-cs"/>
            </a:rPr>
            <a:t> fuel tax system is the most efficient, cost effective and fair way to fund the Highway Trust Fund</a:t>
          </a:r>
          <a:r>
            <a:rPr lang="en-US" sz="1200" b="1" i="0" baseline="0">
              <a:solidFill>
                <a:schemeClr val="dk1"/>
              </a:solidFill>
              <a:effectLst/>
              <a:latin typeface="+mn-lt"/>
              <a:ea typeface="+mn-ea"/>
              <a:cs typeface="+mn-cs"/>
            </a:rPr>
            <a:t>. </a:t>
          </a:r>
          <a:r>
            <a:rPr lang="en-US" sz="1200" b="0" i="0" baseline="0">
              <a:solidFill>
                <a:schemeClr val="dk1"/>
              </a:solidFill>
              <a:effectLst/>
              <a:latin typeface="+mn-lt"/>
              <a:ea typeface="+mn-ea"/>
              <a:cs typeface="+mn-cs"/>
            </a:rPr>
            <a:t>Current administrative cost is 1% of revenue.  </a:t>
          </a:r>
          <a:r>
            <a:rPr lang="en-US" sz="1100" b="0" i="0" baseline="0">
              <a:solidFill>
                <a:schemeClr val="dk1"/>
              </a:solidFill>
              <a:effectLst/>
              <a:latin typeface="+mn-lt"/>
              <a:ea typeface="+mn-ea"/>
              <a:cs typeface="+mn-cs"/>
            </a:rPr>
            <a:t>Rebranding the system to a </a:t>
          </a:r>
          <a:r>
            <a:rPr lang="en-US" sz="1100" b="1" i="0" baseline="0">
              <a:solidFill>
                <a:srgbClr val="FF0000"/>
              </a:solidFill>
              <a:effectLst/>
              <a:latin typeface="+mn-lt"/>
              <a:ea typeface="+mn-ea"/>
              <a:cs typeface="+mn-cs"/>
            </a:rPr>
            <a:t>GALLON BASED USER FEE (GBUF) </a:t>
          </a:r>
          <a:r>
            <a:rPr lang="en-US" sz="1100" b="0" i="0" baseline="0">
              <a:solidFill>
                <a:sysClr val="windowText" lastClr="000000"/>
              </a:solidFill>
              <a:effectLst/>
              <a:latin typeface="+mn-lt"/>
              <a:ea typeface="+mn-ea"/>
              <a:cs typeface="+mn-cs"/>
            </a:rPr>
            <a:t>would create </a:t>
          </a:r>
          <a:r>
            <a:rPr lang="en-US" sz="1100" b="0" i="0">
              <a:solidFill>
                <a:schemeClr val="dk1"/>
              </a:solidFill>
              <a:effectLst/>
              <a:latin typeface="+mn-lt"/>
              <a:ea typeface="+mn-ea"/>
              <a:cs typeface="+mn-cs"/>
            </a:rPr>
            <a:t>a transparent and more effective  way to show the public</a:t>
          </a:r>
          <a:r>
            <a:rPr lang="en-US" sz="1100" b="0" i="0" baseline="0">
              <a:solidFill>
                <a:schemeClr val="dk1"/>
              </a:solidFill>
              <a:effectLst/>
              <a:latin typeface="+mn-lt"/>
              <a:ea typeface="+mn-ea"/>
              <a:cs typeface="+mn-cs"/>
            </a:rPr>
            <a:t> how the HTF is being funded.  It is a usage fee directly tied to highway use and miles traveled based on MPG.  Increases in average mpg over time would have a negative impact on revenue, however, a </a:t>
          </a:r>
          <a:r>
            <a:rPr lang="en-US" sz="1100" b="1" i="0" baseline="0">
              <a:solidFill>
                <a:srgbClr val="FF0000"/>
              </a:solidFill>
              <a:effectLst/>
              <a:latin typeface="+mn-lt"/>
              <a:ea typeface="+mn-ea"/>
              <a:cs typeface="+mn-cs"/>
            </a:rPr>
            <a:t>NEW ANNUAL REGISTRATION  USER FEE for EVs and Hybrids of  $200/$100</a:t>
          </a: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respectively would cover the lost revenue.  A 40% conversion of gasoline power passenger vehicles to electric vehicles would increase revenue by $47.5 billion over 10 years.</a:t>
          </a:r>
        </a:p>
        <a:p>
          <a:endParaRPr lang="en-US" sz="1100" b="0" i="0" u="none" strike="noStrike" baseline="0">
            <a:solidFill>
              <a:schemeClr val="dk1"/>
            </a:solidFill>
            <a:effectLst/>
            <a:latin typeface="+mn-lt"/>
            <a:ea typeface="+mn-ea"/>
            <a:cs typeface="+mn-cs"/>
          </a:endParaRPr>
        </a:p>
        <a:p>
          <a:r>
            <a:rPr lang="en-US" sz="1100" b="0" i="0" u="none" strike="noStrike" baseline="0">
              <a:solidFill>
                <a:schemeClr val="dk1"/>
              </a:solidFill>
              <a:effectLst/>
              <a:latin typeface="+mn-lt"/>
              <a:ea typeface="+mn-ea"/>
              <a:cs typeface="+mn-cs"/>
            </a:rPr>
            <a:t>The average annual additional GBUF cost to users per vehicle based on 2024 gallons would </a:t>
          </a:r>
          <a:r>
            <a:rPr lang="en-US" sz="1100" b="1" i="0" u="none" strike="noStrike" baseline="0">
              <a:solidFill>
                <a:srgbClr val="FF0000"/>
              </a:solidFill>
              <a:effectLst/>
              <a:latin typeface="+mn-lt"/>
              <a:ea typeface="+mn-ea"/>
              <a:cs typeface="+mn-cs"/>
            </a:rPr>
            <a:t>$125</a:t>
          </a:r>
          <a:r>
            <a:rPr lang="en-US" sz="1100" b="1" i="0" u="none" strike="noStrike" baseline="0">
              <a:solidFill>
                <a:sysClr val="windowText" lastClr="000000"/>
              </a:solidFill>
              <a:effectLst/>
              <a:latin typeface="+mn-lt"/>
              <a:ea typeface="+mn-ea"/>
              <a:cs typeface="+mn-cs"/>
            </a:rPr>
            <a:t>.</a:t>
          </a:r>
        </a:p>
        <a:p>
          <a:r>
            <a:rPr lang="en-US" sz="1100" b="0" i="0" u="none" strike="noStrike" baseline="0">
              <a:solidFill>
                <a:sysClr val="windowText" lastClr="000000"/>
              </a:solidFill>
              <a:effectLst/>
              <a:latin typeface="+mn-lt"/>
              <a:ea typeface="+mn-ea"/>
              <a:cs typeface="+mn-cs"/>
            </a:rPr>
            <a:t>The average annual additional GBUF cost to users per vehicle based on 15,000 miles and an mpg of 25 would be  </a:t>
          </a:r>
          <a:r>
            <a:rPr lang="en-US" sz="1100" b="1" i="0" u="none" strike="noStrike" baseline="0">
              <a:solidFill>
                <a:srgbClr val="FF0000"/>
              </a:solidFill>
              <a:effectLst/>
              <a:latin typeface="+mn-lt"/>
              <a:ea typeface="+mn-ea"/>
              <a:cs typeface="+mn-cs"/>
            </a:rPr>
            <a:t>$129</a:t>
          </a:r>
          <a:r>
            <a:rPr lang="en-US" sz="1100" b="1" i="0" u="none" strike="noStrike" baseline="0">
              <a:solidFill>
                <a:sysClr val="windowText" lastClr="000000"/>
              </a:solidFill>
              <a:effectLst/>
              <a:latin typeface="+mn-lt"/>
              <a:ea typeface="+mn-ea"/>
              <a:cs typeface="+mn-cs"/>
            </a:rPr>
            <a:t>.</a:t>
          </a:r>
        </a:p>
        <a:p>
          <a:r>
            <a:rPr lang="en-US" sz="1100" b="0" i="0" u="none" strike="noStrike" baseline="0">
              <a:solidFill>
                <a:sysClr val="windowText" lastClr="000000"/>
              </a:solidFill>
              <a:effectLst/>
              <a:latin typeface="+mn-lt"/>
              <a:ea typeface="+mn-ea"/>
              <a:cs typeface="+mn-cs"/>
            </a:rPr>
            <a:t>The average annual additional GBUF cost per household would be </a:t>
          </a:r>
          <a:r>
            <a:rPr lang="en-US" sz="1100" b="1" i="0" u="none" strike="noStrike" baseline="0">
              <a:solidFill>
                <a:srgbClr val="FF0000"/>
              </a:solidFill>
              <a:effectLst/>
              <a:latin typeface="+mn-lt"/>
              <a:ea typeface="+mn-ea"/>
              <a:cs typeface="+mn-cs"/>
            </a:rPr>
            <a:t>$236</a:t>
          </a:r>
          <a:r>
            <a:rPr lang="en-US" sz="1100" b="0" i="0" u="none" strike="noStrike" baseline="0">
              <a:solidFill>
                <a:sysClr val="windowText" lastClr="000000"/>
              </a:solidFill>
              <a:effectLst/>
              <a:latin typeface="+mn-lt"/>
              <a:ea typeface="+mn-ea"/>
              <a:cs typeface="+mn-cs"/>
            </a:rPr>
            <a:t>.</a:t>
          </a:r>
        </a:p>
        <a:p>
          <a:r>
            <a:rPr lang="en-US" sz="1100" b="0" i="0" u="none" strike="noStrike" baseline="0">
              <a:solidFill>
                <a:sysClr val="windowText" lastClr="000000"/>
              </a:solidFill>
              <a:effectLst/>
              <a:latin typeface="+mn-lt"/>
              <a:ea typeface="+mn-ea"/>
              <a:cs typeface="+mn-cs"/>
            </a:rPr>
            <a:t>Proposed EV registration fee is </a:t>
          </a:r>
          <a:r>
            <a:rPr lang="en-US" sz="1100" b="1" i="0" u="none" strike="noStrike" baseline="0">
              <a:solidFill>
                <a:srgbClr val="FF0000"/>
              </a:solidFill>
              <a:effectLst/>
              <a:latin typeface="+mn-lt"/>
              <a:ea typeface="+mn-ea"/>
              <a:cs typeface="+mn-cs"/>
            </a:rPr>
            <a:t>$200 </a:t>
          </a:r>
          <a:r>
            <a:rPr lang="en-US" sz="1100" b="0" i="0" u="none" strike="noStrike" baseline="0">
              <a:solidFill>
                <a:sysClr val="windowText" lastClr="000000"/>
              </a:solidFill>
              <a:effectLst/>
              <a:latin typeface="+mn-lt"/>
              <a:ea typeface="+mn-ea"/>
              <a:cs typeface="+mn-cs"/>
            </a:rPr>
            <a:t>per vehicle and </a:t>
          </a:r>
          <a:r>
            <a:rPr lang="en-US" sz="1100" b="1" i="0" u="none" strike="noStrike" baseline="0">
              <a:solidFill>
                <a:srgbClr val="FF0000"/>
              </a:solidFill>
              <a:effectLst/>
              <a:latin typeface="+mn-lt"/>
              <a:ea typeface="+mn-ea"/>
              <a:cs typeface="+mn-cs"/>
            </a:rPr>
            <a:t>$100 </a:t>
          </a:r>
          <a:r>
            <a:rPr lang="en-US" sz="1100" b="0" i="0" u="none" strike="noStrike" baseline="0">
              <a:solidFill>
                <a:sysClr val="windowText" lastClr="000000"/>
              </a:solidFill>
              <a:effectLst/>
              <a:latin typeface="+mn-lt"/>
              <a:ea typeface="+mn-ea"/>
              <a:cs typeface="+mn-cs"/>
            </a:rPr>
            <a:t>for Hybrids.</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According to </a:t>
          </a:r>
          <a:r>
            <a:rPr lang="en-US" sz="1100" b="1" i="0" u="sng" strike="noStrike" baseline="0">
              <a:solidFill>
                <a:schemeClr val="dk1"/>
              </a:solidFill>
              <a:effectLst/>
              <a:latin typeface="+mn-lt"/>
              <a:ea typeface="+mn-ea"/>
              <a:cs typeface="+mn-cs"/>
            </a:rPr>
            <a:t>THE STATUS OF THE HIGHWAY TRUST FUND:2023 UPDATE</a:t>
          </a:r>
          <a:r>
            <a:rPr lang="en-US" sz="1100" b="0" i="0" u="sng"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published by CBO on 10/18/2023, </a:t>
          </a:r>
          <a:r>
            <a:rPr lang="en-US" sz="1100" b="1" i="0" u="none" strike="noStrike">
              <a:solidFill>
                <a:srgbClr val="FF0000"/>
              </a:solidFill>
              <a:effectLst/>
              <a:latin typeface="+mn-lt"/>
              <a:ea typeface="+mn-ea"/>
              <a:cs typeface="+mn-cs"/>
            </a:rPr>
            <a:t>the cumulative shortfall of the fund over the 2024–2033 period (9 years) is projected to be $181 billion</a:t>
          </a:r>
          <a:r>
            <a:rPr lang="en-US" sz="1100" b="0" i="0" u="none" strike="noStrike">
              <a:solidFill>
                <a:schemeClr val="dk1"/>
              </a:solidFill>
              <a:effectLst/>
              <a:latin typeface="+mn-lt"/>
              <a:ea typeface="+mn-ea"/>
              <a:cs typeface="+mn-cs"/>
            </a:rPr>
            <a:t>.</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With a 117% increase in GBUF and the</a:t>
          </a:r>
          <a:r>
            <a:rPr lang="en-US" sz="1100" b="0" i="0" u="none" strike="noStrike" baseline="0">
              <a:solidFill>
                <a:schemeClr val="dk1"/>
              </a:solidFill>
              <a:effectLst/>
              <a:latin typeface="+mn-lt"/>
              <a:ea typeface="+mn-ea"/>
              <a:cs typeface="+mn-cs"/>
            </a:rPr>
            <a:t> addition of  </a:t>
          </a:r>
          <a:r>
            <a:rPr lang="en-US" sz="1100" b="0" i="0" u="none" strike="noStrike">
              <a:solidFill>
                <a:schemeClr val="dk1"/>
              </a:solidFill>
              <a:effectLst/>
              <a:latin typeface="+mn-lt"/>
              <a:ea typeface="+mn-ea"/>
              <a:cs typeface="+mn-cs"/>
            </a:rPr>
            <a:t>a</a:t>
          </a:r>
          <a:r>
            <a:rPr lang="en-US" sz="1100" b="0" i="0" u="none" strike="noStrike" baseline="0">
              <a:solidFill>
                <a:schemeClr val="dk1"/>
              </a:solidFill>
              <a:effectLst/>
              <a:latin typeface="+mn-lt"/>
              <a:ea typeface="+mn-ea"/>
              <a:cs typeface="+mn-cs"/>
            </a:rPr>
            <a:t> $200 and $100 registration fee for EVs and Hybrids respectively, both adjusted for inflation</a:t>
          </a:r>
          <a:r>
            <a:rPr lang="en-US" sz="1100" b="0" i="0" u="none" strike="noStrike">
              <a:solidFill>
                <a:schemeClr val="dk1"/>
              </a:solidFill>
              <a:effectLst/>
              <a:latin typeface="+mn-lt"/>
              <a:ea typeface="+mn-ea"/>
              <a:cs typeface="+mn-cs"/>
            </a:rPr>
            <a:t>, and less</a:t>
          </a:r>
          <a:r>
            <a:rPr lang="en-US" sz="1100" b="0" i="0" u="none" strike="noStrike" baseline="0">
              <a:solidFill>
                <a:schemeClr val="dk1"/>
              </a:solidFill>
              <a:effectLst/>
              <a:latin typeface="+mn-lt"/>
              <a:ea typeface="+mn-ea"/>
              <a:cs typeface="+mn-cs"/>
            </a:rPr>
            <a:t> the repeal of the $6.9 billion FET per year, </a:t>
          </a:r>
          <a:r>
            <a:rPr lang="en-US" sz="1100" b="1" i="0" u="none" strike="noStrike">
              <a:solidFill>
                <a:srgbClr val="FF0000"/>
              </a:solidFill>
              <a:effectLst/>
              <a:latin typeface="+mn-lt"/>
              <a:ea typeface="+mn-ea"/>
              <a:cs typeface="+mn-cs"/>
            </a:rPr>
            <a:t>the shortfall would be covered in less than 4 years</a:t>
          </a:r>
          <a:r>
            <a:rPr lang="en-US" sz="1100" b="1" i="0" u="none" strike="noStrike" baseline="0">
              <a:solidFill>
                <a:srgbClr val="FF0000"/>
              </a:solidFill>
              <a:effectLst/>
              <a:latin typeface="+mn-lt"/>
              <a:ea typeface="+mn-ea"/>
              <a:cs typeface="+mn-cs"/>
            </a:rPr>
            <a:t> with $221.1 billion of additional revenue.  </a:t>
          </a:r>
        </a:p>
        <a:p>
          <a:endParaRPr lang="en-US" sz="1100" b="1" i="0" u="none" strike="noStrik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u="sng">
              <a:solidFill>
                <a:schemeClr val="dk1"/>
              </a:solidFill>
              <a:effectLst/>
              <a:latin typeface="+mn-lt"/>
              <a:ea typeface="+mn-ea"/>
              <a:cs typeface="+mn-cs"/>
            </a:rPr>
            <a:t>The ASCE 2025 Report Card graded Bridges a C and Roads a D+</a:t>
          </a:r>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  </a:t>
          </a:r>
          <a:r>
            <a:rPr lang="en-US" sz="1100" b="0" i="0">
              <a:solidFill>
                <a:schemeClr val="dk1"/>
              </a:solidFill>
              <a:effectLst/>
              <a:latin typeface="+mn-lt"/>
              <a:ea typeface="+mn-ea"/>
              <a:cs typeface="+mn-cs"/>
            </a:rPr>
            <a:t>Bridges received a substantial boost through the Infrastructure Investment and Jobs Act (IIJA), including $27.5 billion for the Bridge Formula Program and $12.5 billion for the Bridge Investment Program. The Bridging the Gap report indicates there is a funding gap of $373 billion over 10 years to bring the nation’s bridges into a state of good repair.  Also despite recent investments, including more than $591 billion since late 2021 from the Infrastructure Investment and Jobs Act (IIJA), the nation’s roadways still face a $684 billion funding gap over the next 10 years.  </a:t>
          </a:r>
          <a:r>
            <a:rPr lang="en-US" sz="1100" b="1">
              <a:solidFill>
                <a:srgbClr val="FF0000"/>
              </a:solidFill>
              <a:effectLst/>
              <a:latin typeface="+mn-lt"/>
              <a:ea typeface="+mn-ea"/>
              <a:cs typeface="+mn-cs"/>
            </a:rPr>
            <a:t>With the above</a:t>
          </a:r>
          <a:r>
            <a:rPr lang="en-US" sz="1100" b="1" baseline="0">
              <a:solidFill>
                <a:srgbClr val="FF0000"/>
              </a:solidFill>
              <a:effectLst/>
              <a:latin typeface="+mn-lt"/>
              <a:ea typeface="+mn-ea"/>
              <a:cs typeface="+mn-cs"/>
            </a:rPr>
            <a:t> changes, The HTF would receive additional revenue of  $652 billion or 61.6</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rgbClr val="FF0000"/>
              </a:solidFill>
              <a:effectLst/>
              <a:latin typeface="+mn-lt"/>
              <a:ea typeface="+mn-ea"/>
              <a:cs typeface="+mn-cs"/>
            </a:rPr>
            <a:t>% </a:t>
          </a:r>
          <a:r>
            <a:rPr lang="en-US" sz="1100" b="1" baseline="0">
              <a:solidFill>
                <a:schemeClr val="dk1"/>
              </a:solidFill>
              <a:effectLst/>
              <a:latin typeface="+mn-lt"/>
              <a:ea typeface="+mn-ea"/>
              <a:cs typeface="+mn-cs"/>
            </a:rPr>
            <a:t> towards the $1.057 trillion gap</a:t>
          </a:r>
          <a:r>
            <a:rPr lang="en-US" sz="1100" b="0" baseline="0">
              <a:solidFill>
                <a:schemeClr val="dk1"/>
              </a:solidFill>
              <a:effectLst/>
              <a:latin typeface="+mn-lt"/>
              <a:ea typeface="+mn-ea"/>
              <a:cs typeface="+mn-cs"/>
            </a:rPr>
            <a:t>.</a:t>
          </a:r>
          <a:endParaRPr lang="en-US" b="1">
            <a:effectLst/>
          </a:endParaRPr>
        </a:p>
        <a:p>
          <a:endParaRPr lang="en-US" sz="1100"/>
        </a:p>
      </xdr:txBody>
    </xdr:sp>
    <xdr:clientData/>
  </xdr:twoCellAnchor>
  <xdr:twoCellAnchor>
    <xdr:from>
      <xdr:col>24</xdr:col>
      <xdr:colOff>38100</xdr:colOff>
      <xdr:row>44</xdr:row>
      <xdr:rowOff>160020</xdr:rowOff>
    </xdr:from>
    <xdr:to>
      <xdr:col>29</xdr:col>
      <xdr:colOff>762000</xdr:colOff>
      <xdr:row>60</xdr:row>
      <xdr:rowOff>38100</xdr:rowOff>
    </xdr:to>
    <xdr:sp macro="" textlink="">
      <xdr:nvSpPr>
        <xdr:cNvPr id="3" name="TextBox 2">
          <a:extLst>
            <a:ext uri="{FF2B5EF4-FFF2-40B4-BE49-F238E27FC236}">
              <a16:creationId xmlns:a16="http://schemas.microsoft.com/office/drawing/2014/main" id="{FBF7840E-9406-4536-BB1B-479A1C2257B9}"/>
            </a:ext>
          </a:extLst>
        </xdr:cNvPr>
        <xdr:cNvSpPr txBox="1"/>
      </xdr:nvSpPr>
      <xdr:spPr>
        <a:xfrm>
          <a:off x="12763500" y="8627745"/>
          <a:ext cx="3571875" cy="3021330"/>
        </a:xfrm>
        <a:prstGeom prst="rect">
          <a:avLst/>
        </a:prstGeom>
        <a:solidFill>
          <a:schemeClr val="lt1"/>
        </a:solidFill>
        <a:ln w="38100" cmpd="sng">
          <a:solidFill>
            <a:schemeClr val="tx2">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The increased</a:t>
          </a:r>
          <a:r>
            <a:rPr lang="en-US" sz="1100" b="1" baseline="0"/>
            <a:t> user fee based on 120,000 mile at a 6.5 average mpg would be </a:t>
          </a:r>
          <a:r>
            <a:rPr lang="en-US" sz="1100" b="1" baseline="0">
              <a:solidFill>
                <a:srgbClr val="FF0000"/>
              </a:solidFill>
            </a:rPr>
            <a:t>$5,262 </a:t>
          </a:r>
          <a:r>
            <a:rPr lang="en-US" sz="1100" b="1" baseline="0"/>
            <a:t>per vehicle</a:t>
          </a:r>
          <a:r>
            <a:rPr lang="en-US" sz="1100" baseline="0"/>
            <a:t>.  Unlike n annual registration user fee of $5,000-$6,000, this user fee is directly tied to miles traveled based on actual mpg which is much more fair and equitable.  It is also a pay as you go system which does not place a cash flow financial burdern on trucking companies, especially small operators.  Since the</a:t>
          </a:r>
          <a:r>
            <a:rPr lang="en-US" sz="1100" baseline="0">
              <a:solidFill>
                <a:schemeClr val="dk1"/>
              </a:solidFill>
              <a:effectLst/>
              <a:latin typeface="+mn-lt"/>
              <a:ea typeface="+mn-ea"/>
              <a:cs typeface="+mn-cs"/>
            </a:rPr>
            <a:t> more miles a vehicle travels increases the total user fee, it</a:t>
          </a:r>
          <a:r>
            <a:rPr lang="en-US" sz="1100" baseline="0"/>
            <a:t> incentivizes companies and drivers to upgrade their older tractors to tractors with better technology which increases mpg and also reduces engine emissions.  Coupled with the elimination of the FET which further incentivizes the purchase of newer equipment, </a:t>
          </a:r>
          <a:r>
            <a:rPr lang="en-US" sz="1100" b="1" u="sng" baseline="0">
              <a:solidFill>
                <a:srgbClr val="FF0000"/>
              </a:solidFill>
            </a:rPr>
            <a:t>it would make significant progress in reducing the trucking industry's carbon footprint</a:t>
          </a:r>
          <a:r>
            <a:rPr lang="en-US" sz="1100" b="1" u="sng" baseline="0">
              <a:solidFill>
                <a:sysClr val="windowText" lastClr="000000"/>
              </a:solidFill>
            </a:rPr>
            <a:t> </a:t>
          </a:r>
          <a:r>
            <a:rPr lang="en-US" sz="1100" b="0" u="none" baseline="0">
              <a:solidFill>
                <a:sysClr val="windowText" lastClr="000000"/>
              </a:solidFill>
            </a:rPr>
            <a:t>as alternative fuels are developed and economically viable electric vehicle technology is developed.</a:t>
          </a:r>
          <a:endParaRPr 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441960</xdr:colOff>
      <xdr:row>1</xdr:row>
      <xdr:rowOff>160020</xdr:rowOff>
    </xdr:from>
    <xdr:ext cx="10591800" cy="11631517"/>
    <xdr:sp macro="" textlink="">
      <xdr:nvSpPr>
        <xdr:cNvPr id="2" name="TextBox 1">
          <a:extLst>
            <a:ext uri="{FF2B5EF4-FFF2-40B4-BE49-F238E27FC236}">
              <a16:creationId xmlns:a16="http://schemas.microsoft.com/office/drawing/2014/main" id="{9E70603E-6014-ABCE-2120-B952BEF0A47E}"/>
            </a:ext>
          </a:extLst>
        </xdr:cNvPr>
        <xdr:cNvSpPr txBox="1"/>
      </xdr:nvSpPr>
      <xdr:spPr>
        <a:xfrm>
          <a:off x="1661160" y="525780"/>
          <a:ext cx="10591800" cy="11631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fontAlgn="base"/>
          <a:r>
            <a:rPr lang="en-US" sz="1100" b="1">
              <a:solidFill>
                <a:schemeClr val="tx1"/>
              </a:solidFill>
              <a:effectLst/>
              <a:latin typeface="+mn-lt"/>
              <a:ea typeface="+mn-ea"/>
              <a:cs typeface="+mn-cs"/>
            </a:rPr>
            <a:t>Graves, Rouzer Opening Statements from Hearing on the Highway Trust Fund</a:t>
          </a:r>
          <a:endParaRPr lang="en-US" sz="1100">
            <a:solidFill>
              <a:schemeClr val="tx1"/>
            </a:solidFill>
            <a:effectLst/>
            <a:latin typeface="+mn-lt"/>
            <a:ea typeface="+mn-ea"/>
            <a:cs typeface="+mn-cs"/>
          </a:endParaRPr>
        </a:p>
        <a:p>
          <a:pPr fontAlgn="base"/>
          <a:r>
            <a:rPr lang="en-US" sz="1100" b="1">
              <a:solidFill>
                <a:schemeClr val="tx1"/>
              </a:solidFill>
              <a:effectLst/>
              <a:latin typeface="+mn-lt"/>
              <a:ea typeface="+mn-ea"/>
              <a:cs typeface="+mn-cs"/>
            </a:rPr>
            <a:t>For Immediate Release:</a:t>
          </a:r>
          <a:r>
            <a:rPr lang="en-US" sz="1100">
              <a:solidFill>
                <a:schemeClr val="tx1"/>
              </a:solidFill>
              <a:effectLst/>
              <a:latin typeface="+mn-lt"/>
              <a:ea typeface="+mn-ea"/>
              <a:cs typeface="+mn-cs"/>
            </a:rPr>
            <a:t> April 29, 2025</a:t>
          </a:r>
          <a:br>
            <a:rPr lang="en-US" sz="1100">
              <a:solidFill>
                <a:schemeClr val="tx1"/>
              </a:solidFill>
              <a:effectLst/>
              <a:latin typeface="+mn-lt"/>
              <a:ea typeface="+mn-ea"/>
              <a:cs typeface="+mn-cs"/>
            </a:rPr>
          </a:br>
          <a:r>
            <a:rPr lang="en-US" sz="1100" b="1">
              <a:solidFill>
                <a:schemeClr val="tx1"/>
              </a:solidFill>
              <a:effectLst/>
              <a:latin typeface="+mn-lt"/>
              <a:ea typeface="+mn-ea"/>
              <a:cs typeface="+mn-cs"/>
            </a:rPr>
            <a:t>Contact:</a:t>
          </a:r>
          <a:r>
            <a:rPr lang="en-US" sz="1100">
              <a:solidFill>
                <a:schemeClr val="tx1"/>
              </a:solidFill>
              <a:effectLst/>
              <a:latin typeface="+mn-lt"/>
              <a:ea typeface="+mn-ea"/>
              <a:cs typeface="+mn-cs"/>
            </a:rPr>
            <a:t> </a:t>
          </a:r>
          <a:r>
            <a:rPr lang="en-US" sz="1100" u="none" strike="noStrike">
              <a:solidFill>
                <a:schemeClr val="tx1"/>
              </a:solidFill>
              <a:effectLst/>
              <a:latin typeface="+mn-lt"/>
              <a:ea typeface="+mn-ea"/>
              <a:cs typeface="+mn-cs"/>
              <a:hlinkClick xmlns:r="http://schemas.openxmlformats.org/officeDocument/2006/relationships" r:id=""/>
            </a:rPr>
            <a:t>Justin Harclerode</a:t>
          </a:r>
          <a:r>
            <a:rPr lang="en-US" sz="1100" u="sng">
              <a:solidFill>
                <a:schemeClr val="tx1"/>
              </a:solidFill>
              <a:effectLst/>
              <a:latin typeface="+mn-lt"/>
              <a:ea typeface="+mn-ea"/>
              <a:cs typeface="+mn-cs"/>
              <a:hlinkClick xmlns:r="http://schemas.openxmlformats.org/officeDocument/2006/relationships" r:id=""/>
            </a:rPr>
            <a:t> [transportation.house.gov]</a:t>
          </a:r>
          <a:r>
            <a:rPr lang="en-US" sz="1100">
              <a:solidFill>
                <a:schemeClr val="tx1"/>
              </a:solidFill>
              <a:effectLst/>
              <a:latin typeface="+mn-lt"/>
              <a:ea typeface="+mn-ea"/>
              <a:cs typeface="+mn-cs"/>
            </a:rPr>
            <a:t> (202) 225-9446</a:t>
          </a:r>
        </a:p>
        <a:p>
          <a:pPr fontAlgn="base"/>
          <a:r>
            <a:rPr lang="en-US" sz="1100">
              <a:solidFill>
                <a:schemeClr val="tx1"/>
              </a:solidFill>
              <a:effectLst/>
              <a:latin typeface="+mn-lt"/>
              <a:ea typeface="+mn-ea"/>
              <a:cs typeface="+mn-cs"/>
            </a:rPr>
            <a:t>Washington, D.C. - </a:t>
          </a:r>
          <a:r>
            <a:rPr lang="en-US" sz="1100" i="1">
              <a:solidFill>
                <a:schemeClr val="tx1"/>
              </a:solidFill>
              <a:effectLst/>
              <a:latin typeface="+mn-lt"/>
              <a:ea typeface="+mn-ea"/>
              <a:cs typeface="+mn-cs"/>
            </a:rPr>
            <a:t>Opening remarks, as prepared, of Transportation and Infrastructure Committee Chairman Sam Graves (R-MO) and Highways and Transit Subcommittee Chairman David Rouzer (R-NC) from today’s hearing, entitled “America Builds: The Need for a Long-Term Solution for the Highway Trust Fund”:</a:t>
          </a:r>
          <a:endParaRPr lang="en-US" sz="1100">
            <a:solidFill>
              <a:schemeClr val="tx1"/>
            </a:solidFill>
            <a:effectLst/>
            <a:latin typeface="+mn-lt"/>
            <a:ea typeface="+mn-ea"/>
            <a:cs typeface="+mn-cs"/>
          </a:endParaRPr>
        </a:p>
        <a:p>
          <a:pPr fontAlgn="base"/>
          <a:endParaRPr lang="en-US" sz="1100" u="sng">
            <a:solidFill>
              <a:schemeClr val="tx1"/>
            </a:solidFill>
            <a:effectLst/>
            <a:latin typeface="+mn-lt"/>
            <a:ea typeface="+mn-ea"/>
            <a:cs typeface="+mn-cs"/>
          </a:endParaRPr>
        </a:p>
        <a:p>
          <a:pPr fontAlgn="base"/>
          <a:r>
            <a:rPr lang="en-US" sz="1100" u="sng">
              <a:solidFill>
                <a:schemeClr val="tx1"/>
              </a:solidFill>
              <a:effectLst/>
              <a:latin typeface="+mn-lt"/>
              <a:ea typeface="+mn-ea"/>
              <a:cs typeface="+mn-cs"/>
            </a:rPr>
            <a:t>Transportation and Infrastructure Committee Chairman Sam Graves</a:t>
          </a:r>
        </a:p>
        <a:p>
          <a:pPr fontAlgn="base"/>
          <a:endParaRPr lang="en-US">
            <a:effectLst/>
          </a:endParaRPr>
        </a:p>
        <a:p>
          <a:pPr fontAlgn="base"/>
          <a:r>
            <a:rPr lang="en-US" sz="1100">
              <a:solidFill>
                <a:schemeClr val="tx1"/>
              </a:solidFill>
              <a:effectLst/>
              <a:latin typeface="+mn-lt"/>
              <a:ea typeface="+mn-ea"/>
              <a:cs typeface="+mn-cs"/>
            </a:rPr>
            <a:t>Thank you, Chairman Rouzer, and thank you to our witnesses for being here today, as we discuss the importance of long-term certainty and stability for the Highway Trust Fund. The Trust Fund has faced an insolvency crisis dating back to at least 2008, as current user fees are no longer sufficient to sustain necessary investment in our surface infrastructure needs.  </a:t>
          </a:r>
        </a:p>
        <a:p>
          <a:pPr fontAlgn="base"/>
          <a:endParaRPr lang="en-US" sz="1100">
            <a:solidFill>
              <a:schemeClr val="tx1"/>
            </a:solidFill>
            <a:effectLst/>
            <a:latin typeface="+mn-lt"/>
            <a:ea typeface="+mn-ea"/>
            <a:cs typeface="+mn-cs"/>
          </a:endParaRPr>
        </a:p>
        <a:p>
          <a:pPr fontAlgn="base"/>
          <a:r>
            <a:rPr lang="en-US" sz="1100">
              <a:solidFill>
                <a:schemeClr val="tx1"/>
              </a:solidFill>
              <a:effectLst/>
              <a:latin typeface="+mn-lt"/>
              <a:ea typeface="+mn-ea"/>
              <a:cs typeface="+mn-cs"/>
            </a:rPr>
            <a:t>The </a:t>
          </a:r>
          <a:r>
            <a:rPr lang="en-US" sz="1100" i="1">
              <a:solidFill>
                <a:schemeClr val="tx1"/>
              </a:solidFill>
              <a:effectLst/>
              <a:latin typeface="+mn-lt"/>
              <a:ea typeface="+mn-ea"/>
              <a:cs typeface="+mn-cs"/>
            </a:rPr>
            <a:t>Infrastructure Investment and Jobs Act</a:t>
          </a:r>
          <a:r>
            <a:rPr lang="en-US" sz="1100">
              <a:solidFill>
                <a:schemeClr val="tx1"/>
              </a:solidFill>
              <a:effectLst/>
              <a:latin typeface="+mn-lt"/>
              <a:ea typeface="+mn-ea"/>
              <a:cs typeface="+mn-cs"/>
            </a:rPr>
            <a:t> (</a:t>
          </a:r>
          <a:r>
            <a:rPr lang="en-US" sz="1100" i="1">
              <a:solidFill>
                <a:schemeClr val="tx1"/>
              </a:solidFill>
              <a:effectLst/>
              <a:latin typeface="+mn-lt"/>
              <a:ea typeface="+mn-ea"/>
              <a:cs typeface="+mn-cs"/>
            </a:rPr>
            <a:t>IIJA</a:t>
          </a:r>
          <a:r>
            <a:rPr lang="en-US" sz="1100">
              <a:solidFill>
                <a:schemeClr val="tx1"/>
              </a:solidFill>
              <a:effectLst/>
              <a:latin typeface="+mn-lt"/>
              <a:ea typeface="+mn-ea"/>
              <a:cs typeface="+mn-cs"/>
            </a:rPr>
            <a:t>) failed to address this issue and only made matters worse by increasing spending from the Highway Trust Fund by $102 billion and relying on a bailout of the Trust Fund with a $118 billion General Fund transfer.</a:t>
          </a:r>
        </a:p>
        <a:p>
          <a:pPr fontAlgn="base"/>
          <a:endParaRPr lang="en-US">
            <a:effectLst/>
          </a:endParaRPr>
        </a:p>
        <a:p>
          <a:pPr fontAlgn="base"/>
          <a:r>
            <a:rPr lang="en-US" sz="1100">
              <a:solidFill>
                <a:schemeClr val="tx1"/>
              </a:solidFill>
              <a:effectLst/>
              <a:latin typeface="+mn-lt"/>
              <a:ea typeface="+mn-ea"/>
              <a:cs typeface="+mn-cs"/>
            </a:rPr>
            <a:t>Let me be clear. Republicans support investing in infrastructure, but our highway funding system is founded upon the principle that roadway users must pay for their use of the system. Failing to restructure our surface transportation funding sources will have severe consequences for our nation’s transportation system and the American people.</a:t>
          </a:r>
        </a:p>
        <a:p>
          <a:pPr fontAlgn="base"/>
          <a:endParaRPr lang="en-US">
            <a:effectLst/>
          </a:endParaRPr>
        </a:p>
        <a:p>
          <a:pPr fontAlgn="base"/>
          <a:r>
            <a:rPr lang="en-US" sz="1100">
              <a:solidFill>
                <a:schemeClr val="tx1"/>
              </a:solidFill>
              <a:effectLst/>
              <a:latin typeface="+mn-lt"/>
              <a:ea typeface="+mn-ea"/>
              <a:cs typeface="+mn-cs"/>
            </a:rPr>
            <a:t>That is why tomorrow, as part of reconciliation, the Committee will take the first step towards HTF solvency and stability. We will vote on a proposal to leverage existing state vehicle registration systems and assess a new fee of $200 on electric vehicles (EVs), $100 on hybrid vehicles, and a $20 fee on most other passenger vehicles. If successful, these new user fees would represent the first new funding streams into the Highway Trust Fund in more than 30 years.</a:t>
          </a:r>
        </a:p>
        <a:p>
          <a:pPr fontAlgn="base"/>
          <a:endParaRPr lang="en-US">
            <a:effectLst/>
          </a:endParaRPr>
        </a:p>
        <a:p>
          <a:pPr fontAlgn="base"/>
          <a:r>
            <a:rPr lang="en-US" sz="1100">
              <a:solidFill>
                <a:schemeClr val="tx1"/>
              </a:solidFill>
              <a:effectLst/>
              <a:latin typeface="+mn-lt"/>
              <a:ea typeface="+mn-ea"/>
              <a:cs typeface="+mn-cs"/>
            </a:rPr>
            <a:t>Nearly 40 states already have a special registration fee for EVs. It is time for the federal government to assess a fee on EVs that, for years, have not paid gasoline or diesel taxes, the primary source of Highway Trust Fund revenues.</a:t>
          </a:r>
        </a:p>
        <a:p>
          <a:pPr fontAlgn="base"/>
          <a:endParaRPr lang="en-US">
            <a:effectLst/>
          </a:endParaRPr>
        </a:p>
        <a:p>
          <a:pPr fontAlgn="base"/>
          <a:r>
            <a:rPr lang="en-US" sz="1100">
              <a:solidFill>
                <a:schemeClr val="tx1"/>
              </a:solidFill>
              <a:effectLst/>
              <a:latin typeface="+mn-lt"/>
              <a:ea typeface="+mn-ea"/>
              <a:cs typeface="+mn-cs"/>
            </a:rPr>
            <a:t>Most importantly, this proposal continues the user-pays principle and ensures EVs no longer get a free ride on our highways. While EVs and hybrids will start paying these fees into the system in the near term, the $20 fee would not go into effect until 2031. This delay gives this committee the opportunity to consider restructuring the broken trust fund tax structure with a fairer system to ensure solvency for years to come.</a:t>
          </a:r>
        </a:p>
        <a:p>
          <a:pPr fontAlgn="base"/>
          <a:endParaRPr lang="en-US">
            <a:effectLst/>
          </a:endParaRPr>
        </a:p>
        <a:p>
          <a:pPr fontAlgn="base"/>
          <a:r>
            <a:rPr lang="en-US" sz="1100">
              <a:solidFill>
                <a:schemeClr val="tx1"/>
              </a:solidFill>
              <a:effectLst/>
              <a:latin typeface="+mn-lt"/>
              <a:ea typeface="+mn-ea"/>
              <a:cs typeface="+mn-cs"/>
            </a:rPr>
            <a:t>Let me close by once again underscoring the significance of this proposal. The Trust Fund is broken. Our reconciliation bill will take the first step towards fixing it, unlocking the path towards permanently fixing the Trust Fund. This gives our committee a significant head start in our reauthorization process and sets us up for success.</a:t>
          </a:r>
        </a:p>
        <a:p>
          <a:pPr fontAlgn="base"/>
          <a:endParaRPr lang="en-US">
            <a:effectLst/>
          </a:endParaRPr>
        </a:p>
        <a:p>
          <a:pPr fontAlgn="base"/>
          <a:r>
            <a:rPr lang="en-US" sz="1100">
              <a:solidFill>
                <a:schemeClr val="tx1"/>
              </a:solidFill>
              <a:effectLst/>
              <a:latin typeface="+mn-lt"/>
              <a:ea typeface="+mn-ea"/>
              <a:cs typeface="+mn-cs"/>
            </a:rPr>
            <a:t>We must act now to save the Trust Fund before it’s too late.</a:t>
          </a:r>
        </a:p>
        <a:p>
          <a:pPr fontAlgn="base"/>
          <a:endParaRPr lang="en-US">
            <a:effectLst/>
          </a:endParaRPr>
        </a:p>
        <a:p>
          <a:pPr fontAlgn="base"/>
          <a:r>
            <a:rPr lang="en-US" sz="1100" u="sng">
              <a:solidFill>
                <a:schemeClr val="tx1"/>
              </a:solidFill>
              <a:effectLst/>
              <a:latin typeface="+mn-lt"/>
              <a:ea typeface="+mn-ea"/>
              <a:cs typeface="+mn-cs"/>
            </a:rPr>
            <a:t>Highways and Transit Subcommittee Chairman David Rouzer</a:t>
          </a:r>
        </a:p>
        <a:p>
          <a:pPr fontAlgn="base"/>
          <a:endParaRPr lang="en-US">
            <a:effectLst/>
          </a:endParaRPr>
        </a:p>
        <a:p>
          <a:pPr fontAlgn="base"/>
          <a:r>
            <a:rPr lang="en-US" sz="1100">
              <a:solidFill>
                <a:schemeClr val="tx1"/>
              </a:solidFill>
              <a:effectLst/>
              <a:latin typeface="+mn-lt"/>
              <a:ea typeface="+mn-ea"/>
              <a:cs typeface="+mn-cs"/>
            </a:rPr>
            <a:t>Today’s hearing focuses on the importance of long-term certainty and stability for the Highway Trust Fund.  This timely discussion is part of a series of Subcommittee hearings as we work to develop and enact an on-time, multi-year surface bill.</a:t>
          </a:r>
        </a:p>
        <a:p>
          <a:pPr fontAlgn="base"/>
          <a:endParaRPr lang="en-US">
            <a:effectLst/>
          </a:endParaRPr>
        </a:p>
        <a:p>
          <a:pPr fontAlgn="base"/>
          <a:r>
            <a:rPr lang="en-US" sz="1100">
              <a:solidFill>
                <a:schemeClr val="tx1"/>
              </a:solidFill>
              <a:effectLst/>
              <a:latin typeface="+mn-lt"/>
              <a:ea typeface="+mn-ea"/>
              <a:cs typeface="+mn-cs"/>
            </a:rPr>
            <a:t>Congress created the Highway Trust Fund in 1956 to provide a dedicated federal revenue source, based on a user-pays model, for the construction of the Interstate Highway System.  Congress began with a three-cents per gallon excise tax on gasoline allocated to the Trust Fund.  Currently, the Highway Trust Fund is funded by excise taxes on gas and diesel fuels, as well as taxes on truck tires, truck and trailer sales, and heavy vehicle users, with the most recent adjustment to the tax on gas and diesel fuels in 1993.</a:t>
          </a:r>
        </a:p>
        <a:p>
          <a:pPr fontAlgn="base"/>
          <a:endParaRPr lang="en-US">
            <a:effectLst/>
          </a:endParaRPr>
        </a:p>
        <a:p>
          <a:pPr fontAlgn="base"/>
          <a:r>
            <a:rPr lang="en-US" sz="1100">
              <a:solidFill>
                <a:schemeClr val="tx1"/>
              </a:solidFill>
              <a:effectLst/>
              <a:latin typeface="+mn-lt"/>
              <a:ea typeface="+mn-ea"/>
              <a:cs typeface="+mn-cs"/>
            </a:rPr>
            <a:t>Since 2001, spending from the Highway Trust Fund has exceeded its revenues.  During the most recent fiscal year, the Highway Trust Fund collected nearly $50 billion in revenues and interest but spent $70.6 billion, a deficit of more than $20 billion, a significant gap.  To ensure the Trust Fund’s continued solvency, Congress has transferred a total of $275 billion from Treasury’s General Fund to the Highway Trust Fund since 2008.</a:t>
          </a:r>
        </a:p>
        <a:p>
          <a:pPr fontAlgn="base"/>
          <a:endParaRPr lang="en-US">
            <a:effectLst/>
          </a:endParaRPr>
        </a:p>
        <a:p>
          <a:pPr fontAlgn="base"/>
          <a:r>
            <a:rPr lang="en-US" sz="1100">
              <a:solidFill>
                <a:schemeClr val="tx1"/>
              </a:solidFill>
              <a:effectLst/>
              <a:latin typeface="+mn-lt"/>
              <a:ea typeface="+mn-ea"/>
              <a:cs typeface="+mn-cs"/>
            </a:rPr>
            <a:t>Without a serious solution, our state, local, and private sector partners risk losing a reliable funding source critical to project delivery and our national economy.  While General Fund bailouts have offered short-term relief at the expense of the individual American taxpayer, they do not address the long-term challenges that plague the Highway Trust Fund.</a:t>
          </a:r>
        </a:p>
        <a:p>
          <a:pPr fontAlgn="base"/>
          <a:endParaRPr lang="en-US">
            <a:effectLst/>
          </a:endParaRPr>
        </a:p>
        <a:p>
          <a:pPr fontAlgn="base"/>
          <a:r>
            <a:rPr lang="en-US" sz="1100">
              <a:solidFill>
                <a:schemeClr val="tx1"/>
              </a:solidFill>
              <a:effectLst/>
              <a:latin typeface="+mn-lt"/>
              <a:ea typeface="+mn-ea"/>
              <a:cs typeface="+mn-cs"/>
            </a:rPr>
            <a:t>The last several surface transportation authorization bills have continued to authorize highway and mass transit authorizations beyond what the Highway Trust Fund can reasonably support.  The current surface transportation law, the </a:t>
          </a:r>
          <a:r>
            <a:rPr lang="en-US" sz="1100" i="1">
              <a:solidFill>
                <a:schemeClr val="tx1"/>
              </a:solidFill>
              <a:effectLst/>
              <a:latin typeface="+mn-lt"/>
              <a:ea typeface="+mn-ea"/>
              <a:cs typeface="+mn-cs"/>
            </a:rPr>
            <a:t>Infrastructure Investment and Jobs Act</a:t>
          </a:r>
          <a:r>
            <a:rPr lang="en-US" sz="1100">
              <a:solidFill>
                <a:schemeClr val="tx1"/>
              </a:solidFill>
              <a:effectLst/>
              <a:latin typeface="+mn-lt"/>
              <a:ea typeface="+mn-ea"/>
              <a:cs typeface="+mn-cs"/>
            </a:rPr>
            <a:t>, increased Highway Trust Fund spending by more than 36 percent, but made no reforms to revenue streams, resulting in a $118 billion General Fund transfer to cover the gap.</a:t>
          </a:r>
          <a:endParaRPr lang="en-US">
            <a:effectLst/>
          </a:endParaRPr>
        </a:p>
        <a:p>
          <a:pPr fontAlgn="base"/>
          <a:r>
            <a:rPr lang="en-US" sz="1100">
              <a:solidFill>
                <a:schemeClr val="tx1"/>
              </a:solidFill>
              <a:effectLst/>
              <a:latin typeface="+mn-lt"/>
              <a:ea typeface="+mn-ea"/>
              <a:cs typeface="+mn-cs"/>
            </a:rPr>
            <a:t>There are a number of different thoughts about how to address the fundamental structural challenges of the current funding mechanism to fund the Highway Trust Fund, and all have their pros and cons.  Meanwhile, gasoline and diesel taxes, which have remained unchanged since 1993, have lost 73 percent of their purchasing power.  If Congress had chosen to index the gas and diesel taxes to inflation back in 1993, an additional $480 billion in federal revenues would have been raised, most of which would have been deposited into the Highway Trust Fund.</a:t>
          </a:r>
        </a:p>
        <a:p>
          <a:pPr fontAlgn="base"/>
          <a:endParaRPr lang="en-US">
            <a:effectLst/>
          </a:endParaRPr>
        </a:p>
        <a:p>
          <a:pPr fontAlgn="base"/>
          <a:r>
            <a:rPr lang="en-US" sz="1100">
              <a:solidFill>
                <a:schemeClr val="tx1"/>
              </a:solidFill>
              <a:effectLst/>
              <a:latin typeface="+mn-lt"/>
              <a:ea typeface="+mn-ea"/>
              <a:cs typeface="+mn-cs"/>
            </a:rPr>
            <a:t>Obviously, gas tax revenue will continue to decline as cars become more fuel efficient.  Electric vehicles obviously require no fuel and therefore are not paying into the Highway Trust Fund.  CBO estimates gas tax revenues, the majority of Trust Fund receipts, will decline by nearly 40 percent over the next decade.</a:t>
          </a:r>
        </a:p>
        <a:p>
          <a:pPr fontAlgn="base"/>
          <a:endParaRPr lang="en-US">
            <a:effectLst/>
          </a:endParaRPr>
        </a:p>
        <a:p>
          <a:pPr fontAlgn="base"/>
          <a:r>
            <a:rPr lang="en-US" sz="1100">
              <a:solidFill>
                <a:schemeClr val="tx1"/>
              </a:solidFill>
              <a:effectLst/>
              <a:latin typeface="+mn-lt"/>
              <a:ea typeface="+mn-ea"/>
              <a:cs typeface="+mn-cs"/>
            </a:rPr>
            <a:t>Fortunately, this committee is intent on addressing this shortfall in a fair and equitable manner.  Through reconciliation, this committee will propose a $200 annual registration fee on electric vehicles at the federal level, which will raise tens of billions of dollars in additional revenue for the Highway Trust Fund over the next decade to better ensure that all users of our roads are paying to maintain roads.  While a step in the right direction and the first real attempt by Congress to address the Trust Fund’s solvency problems in more than 30 years, this fee alone will certainly not solve the estimated $142 billion shortfall. </a:t>
          </a:r>
        </a:p>
        <a:p>
          <a:pPr fontAlgn="base"/>
          <a:endParaRPr lang="en-US">
            <a:effectLst/>
          </a:endParaRPr>
        </a:p>
        <a:p>
          <a:pPr fontAlgn="base"/>
          <a:r>
            <a:rPr lang="en-US" sz="1100">
              <a:solidFill>
                <a:schemeClr val="tx1"/>
              </a:solidFill>
              <a:effectLst/>
              <a:latin typeface="+mn-lt"/>
              <a:ea typeface="+mn-ea"/>
              <a:cs typeface="+mn-cs"/>
            </a:rPr>
            <a:t>Given that backdrop, I look forward to hearing from our witnesses on potential solutions and new innovative methods we might employ to fund our surface transportation programs.  Thank you all for testifying here today.</a:t>
          </a:r>
          <a:endParaRPr lang="en-US">
            <a:effectLst/>
          </a:endParaRP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269B2-5808-4E28-BD72-8D266B4F00FE}">
  <sheetPr>
    <pageSetUpPr fitToPage="1"/>
  </sheetPr>
  <dimension ref="A2:AZ64"/>
  <sheetViews>
    <sheetView showGridLines="0" tabSelected="1" topLeftCell="J1" zoomScaleNormal="100" workbookViewId="0">
      <selection activeCell="D54" sqref="D54"/>
    </sheetView>
  </sheetViews>
  <sheetFormatPr defaultRowHeight="14.4" x14ac:dyDescent="0.3"/>
  <cols>
    <col min="1" max="1" width="2.44140625" customWidth="1"/>
    <col min="2" max="2" width="5.5546875" customWidth="1"/>
    <col min="3" max="3" width="7" bestFit="1" customWidth="1"/>
    <col min="4" max="4" width="7.6640625" bestFit="1" customWidth="1"/>
    <col min="5" max="5" width="8.6640625" customWidth="1"/>
    <col min="6" max="6" width="7.6640625" customWidth="1"/>
    <col min="7" max="7" width="10.5546875" bestFit="1" customWidth="1"/>
    <col min="8" max="8" width="4.6640625" bestFit="1" customWidth="1"/>
    <col min="9" max="9" width="10.6640625" customWidth="1"/>
    <col min="10" max="10" width="9.5546875" customWidth="1"/>
    <col min="11" max="11" width="4.6640625" bestFit="1" customWidth="1"/>
    <col min="12" max="12" width="8.6640625" customWidth="1"/>
    <col min="13" max="13" width="11.5546875" customWidth="1"/>
    <col min="14" max="14" width="9.44140625" customWidth="1"/>
    <col min="15" max="16" width="9.33203125" hidden="1" customWidth="1"/>
    <col min="17" max="17" width="9.5546875" bestFit="1" customWidth="1"/>
    <col min="18" max="21" width="10.44140625" customWidth="1"/>
    <col min="22" max="22" width="10.5546875" bestFit="1" customWidth="1"/>
    <col min="23" max="23" width="9.44140625" customWidth="1"/>
    <col min="24" max="24" width="10.44140625" customWidth="1"/>
    <col min="25" max="26" width="10.6640625" customWidth="1"/>
    <col min="27" max="27" width="11.5546875" hidden="1" customWidth="1"/>
    <col min="28" max="29" width="10.6640625" customWidth="1"/>
    <col min="30" max="30" width="11.33203125" customWidth="1"/>
    <col min="31" max="31" width="2.109375" customWidth="1"/>
    <col min="32" max="32" width="3.88671875" customWidth="1"/>
    <col min="33" max="33" width="12.33203125" customWidth="1"/>
    <col min="34" max="34" width="8.88671875" customWidth="1"/>
    <col min="35" max="35" width="13.33203125" customWidth="1"/>
    <col min="36" max="36" width="6.33203125" bestFit="1" customWidth="1"/>
    <col min="37" max="37" width="10" customWidth="1"/>
    <col min="38" max="38" width="5.33203125" bestFit="1" customWidth="1"/>
    <col min="39" max="39" width="10.44140625" customWidth="1"/>
    <col min="40" max="40" width="6.33203125" bestFit="1" customWidth="1"/>
    <col min="41" max="41" width="11.33203125" bestFit="1" customWidth="1"/>
    <col min="42" max="42" width="3.109375" customWidth="1"/>
    <col min="43" max="43" width="10.6640625" customWidth="1"/>
    <col min="44" max="44" width="11.21875" bestFit="1" customWidth="1"/>
    <col min="45" max="45" width="8" customWidth="1"/>
    <col min="46" max="46" width="10" bestFit="1" customWidth="1"/>
    <col min="47" max="47" width="12.21875" bestFit="1" customWidth="1"/>
    <col min="48" max="48" width="10.21875" bestFit="1" customWidth="1"/>
    <col min="50" max="50" width="11.77734375" customWidth="1"/>
    <col min="51" max="51" width="10.21875" bestFit="1" customWidth="1"/>
    <col min="52" max="52" width="9.21875" bestFit="1" customWidth="1"/>
  </cols>
  <sheetData>
    <row r="2" spans="1:52" ht="9" customHeight="1" thickBot="1" x14ac:dyDescent="0.3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G2" s="203"/>
      <c r="AO2" s="204"/>
    </row>
    <row r="3" spans="1:52" ht="15" customHeight="1" thickTop="1" thickBot="1" x14ac:dyDescent="0.5">
      <c r="A3" s="30"/>
      <c r="G3" s="172"/>
      <c r="H3" s="172"/>
      <c r="I3" s="172"/>
      <c r="J3" s="172"/>
      <c r="K3" s="172"/>
      <c r="L3" s="172"/>
      <c r="M3" s="172"/>
      <c r="N3" s="172"/>
      <c r="O3" s="172"/>
      <c r="P3" s="172"/>
      <c r="Q3" s="172"/>
      <c r="R3" s="172"/>
      <c r="S3" s="172"/>
      <c r="T3" s="172"/>
      <c r="U3" s="172"/>
      <c r="V3" s="172"/>
      <c r="W3" s="172"/>
      <c r="X3" s="172"/>
      <c r="Y3" s="172"/>
      <c r="Z3" s="172"/>
      <c r="AA3" s="172"/>
      <c r="AB3" s="172"/>
      <c r="AC3" s="172"/>
      <c r="AD3" s="172"/>
      <c r="AE3" s="31"/>
      <c r="AG3" s="203"/>
      <c r="AO3" s="204"/>
    </row>
    <row r="4" spans="1:52" ht="15" customHeight="1" x14ac:dyDescent="0.3">
      <c r="A4" s="30"/>
      <c r="B4" s="299" t="s">
        <v>64</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1"/>
      <c r="AE4" s="31"/>
      <c r="AN4" s="46"/>
      <c r="AO4" s="46"/>
    </row>
    <row r="5" spans="1:52" ht="15" customHeight="1" x14ac:dyDescent="0.3">
      <c r="A5" s="30"/>
      <c r="B5" s="302"/>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4"/>
      <c r="AE5" s="31"/>
    </row>
    <row r="6" spans="1:52" ht="14.4" customHeight="1" thickBot="1" x14ac:dyDescent="0.35">
      <c r="A6" s="30"/>
      <c r="B6" s="305"/>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7"/>
      <c r="AE6" s="31"/>
    </row>
    <row r="7" spans="1:52" ht="14.4" customHeight="1" thickBot="1" x14ac:dyDescent="0.35">
      <c r="A7" s="30"/>
      <c r="C7" s="334" t="s">
        <v>46</v>
      </c>
      <c r="D7" s="335"/>
      <c r="E7" s="335"/>
      <c r="F7" s="336"/>
      <c r="G7" s="340" t="s">
        <v>43</v>
      </c>
      <c r="H7" s="344"/>
      <c r="I7" s="344"/>
      <c r="J7" s="344"/>
      <c r="K7" s="344"/>
      <c r="L7" s="341"/>
      <c r="M7" s="340" t="s">
        <v>61</v>
      </c>
      <c r="N7" s="341"/>
      <c r="O7" s="308" t="s">
        <v>10</v>
      </c>
      <c r="P7" s="309"/>
      <c r="Q7" s="310" t="s">
        <v>62</v>
      </c>
      <c r="R7" s="311"/>
      <c r="S7" s="431" t="s">
        <v>89</v>
      </c>
      <c r="T7" s="431"/>
      <c r="U7" s="432"/>
      <c r="V7" s="321" t="s">
        <v>71</v>
      </c>
      <c r="W7" s="322"/>
      <c r="X7" s="323"/>
      <c r="Y7" s="327" t="s">
        <v>72</v>
      </c>
      <c r="Z7" s="329" t="s">
        <v>60</v>
      </c>
      <c r="AA7" s="312" t="s">
        <v>18</v>
      </c>
      <c r="AB7" s="383" t="s">
        <v>63</v>
      </c>
      <c r="AC7" s="379" t="s">
        <v>59</v>
      </c>
      <c r="AE7" s="31"/>
    </row>
    <row r="8" spans="1:52" ht="14.4" customHeight="1" thickBot="1" x14ac:dyDescent="0.35">
      <c r="A8" s="30"/>
      <c r="C8" s="334"/>
      <c r="D8" s="335"/>
      <c r="E8" s="335"/>
      <c r="F8" s="336"/>
      <c r="G8" s="340"/>
      <c r="H8" s="344"/>
      <c r="I8" s="344"/>
      <c r="J8" s="344"/>
      <c r="K8" s="344"/>
      <c r="L8" s="341"/>
      <c r="M8" s="340"/>
      <c r="N8" s="341"/>
      <c r="O8" s="314" t="s">
        <v>9</v>
      </c>
      <c r="P8" s="315"/>
      <c r="Q8" s="187">
        <f>+(Q12-O12)/O12</f>
        <v>1.1684782608695654</v>
      </c>
      <c r="R8" s="187">
        <f>+(R12-P12)/P12</f>
        <v>1.1680327868852456</v>
      </c>
      <c r="S8" s="322"/>
      <c r="T8" s="322"/>
      <c r="U8" s="323"/>
      <c r="V8" s="321"/>
      <c r="W8" s="322"/>
      <c r="X8" s="323"/>
      <c r="Y8" s="327"/>
      <c r="Z8" s="329"/>
      <c r="AA8" s="313"/>
      <c r="AB8" s="383"/>
      <c r="AC8" s="379"/>
      <c r="AE8" s="31"/>
    </row>
    <row r="9" spans="1:52" ht="14.4" customHeight="1" thickBot="1" x14ac:dyDescent="0.35">
      <c r="A9" s="30"/>
      <c r="C9" s="334"/>
      <c r="D9" s="335"/>
      <c r="E9" s="335"/>
      <c r="F9" s="336"/>
      <c r="G9" s="340"/>
      <c r="H9" s="344"/>
      <c r="I9" s="344"/>
      <c r="J9" s="344"/>
      <c r="K9" s="344"/>
      <c r="L9" s="341"/>
      <c r="M9" s="340"/>
      <c r="N9" s="341"/>
      <c r="O9" s="103"/>
      <c r="P9" s="9"/>
      <c r="Q9" s="316" t="s">
        <v>3</v>
      </c>
      <c r="R9" s="317"/>
      <c r="S9" s="322"/>
      <c r="T9" s="322"/>
      <c r="U9" s="323"/>
      <c r="V9" s="321"/>
      <c r="W9" s="322"/>
      <c r="X9" s="323"/>
      <c r="Y9" s="327"/>
      <c r="Z9" s="329"/>
      <c r="AA9" s="181"/>
      <c r="AB9" s="383"/>
      <c r="AC9" s="379"/>
      <c r="AE9" s="31"/>
    </row>
    <row r="10" spans="1:52" ht="14.4" customHeight="1" thickTop="1" thickBot="1" x14ac:dyDescent="0.35">
      <c r="A10" s="30"/>
      <c r="C10" s="337"/>
      <c r="D10" s="338"/>
      <c r="E10" s="338"/>
      <c r="F10" s="339"/>
      <c r="G10" s="342"/>
      <c r="H10" s="345"/>
      <c r="I10" s="345"/>
      <c r="J10" s="345"/>
      <c r="K10" s="345"/>
      <c r="L10" s="343"/>
      <c r="M10" s="342"/>
      <c r="N10" s="343"/>
      <c r="O10" s="103"/>
      <c r="P10" s="9"/>
      <c r="Q10" s="40">
        <v>0.215</v>
      </c>
      <c r="R10" s="40">
        <v>0.28499999999999998</v>
      </c>
      <c r="S10" s="325"/>
      <c r="T10" s="325"/>
      <c r="U10" s="326"/>
      <c r="V10" s="324"/>
      <c r="W10" s="325"/>
      <c r="X10" s="326"/>
      <c r="Y10" s="328"/>
      <c r="Z10" s="330"/>
      <c r="AA10" s="181"/>
      <c r="AB10" s="384"/>
      <c r="AC10" s="380"/>
      <c r="AE10" s="31"/>
    </row>
    <row r="11" spans="1:52" ht="15" thickBot="1" x14ac:dyDescent="0.35">
      <c r="A11" s="30"/>
      <c r="B11" s="291" t="s">
        <v>8</v>
      </c>
      <c r="C11" s="346" t="s">
        <v>20</v>
      </c>
      <c r="D11" s="346" t="s">
        <v>42</v>
      </c>
      <c r="E11" s="346" t="s">
        <v>0</v>
      </c>
      <c r="F11" s="348" t="s">
        <v>2</v>
      </c>
      <c r="G11" s="331" t="s">
        <v>0</v>
      </c>
      <c r="H11" s="332"/>
      <c r="I11" s="333"/>
      <c r="J11" s="331" t="s">
        <v>1</v>
      </c>
      <c r="K11" s="332"/>
      <c r="L11" s="333"/>
      <c r="M11" s="376" t="s">
        <v>7</v>
      </c>
      <c r="N11" s="377"/>
      <c r="O11" s="104" t="s">
        <v>5</v>
      </c>
      <c r="P11" s="105" t="s">
        <v>6</v>
      </c>
      <c r="Q11" s="156" t="s">
        <v>5</v>
      </c>
      <c r="R11" s="157" t="s">
        <v>6</v>
      </c>
      <c r="S11" s="104" t="s">
        <v>5</v>
      </c>
      <c r="T11" s="59" t="s">
        <v>6</v>
      </c>
      <c r="U11" s="368" t="s">
        <v>2</v>
      </c>
      <c r="V11" s="104" t="s">
        <v>20</v>
      </c>
      <c r="W11" s="59" t="s">
        <v>19</v>
      </c>
      <c r="X11" s="370" t="s">
        <v>2</v>
      </c>
      <c r="Y11" s="372">
        <v>0.12</v>
      </c>
      <c r="Z11" s="361" t="s">
        <v>67</v>
      </c>
      <c r="AA11" s="441" t="s">
        <v>12</v>
      </c>
      <c r="AB11" s="372">
        <v>0.12</v>
      </c>
      <c r="AC11" s="385" t="s">
        <v>68</v>
      </c>
      <c r="AE11" s="31"/>
    </row>
    <row r="12" spans="1:52" ht="15.6" thickTop="1" thickBot="1" x14ac:dyDescent="0.35">
      <c r="A12" s="30"/>
      <c r="B12" s="292"/>
      <c r="C12" s="347"/>
      <c r="D12" s="347" t="s">
        <v>19</v>
      </c>
      <c r="E12" s="347" t="s">
        <v>0</v>
      </c>
      <c r="F12" s="349" t="s">
        <v>2</v>
      </c>
      <c r="G12" s="144" t="s">
        <v>16</v>
      </c>
      <c r="H12" s="145" t="s">
        <v>44</v>
      </c>
      <c r="I12" s="168" t="s">
        <v>45</v>
      </c>
      <c r="J12" s="144" t="s">
        <v>16</v>
      </c>
      <c r="K12" s="145" t="s">
        <v>44</v>
      </c>
      <c r="L12" s="168" t="s">
        <v>45</v>
      </c>
      <c r="M12" s="154" t="s">
        <v>5</v>
      </c>
      <c r="N12" s="155" t="s">
        <v>1</v>
      </c>
      <c r="O12" s="106">
        <v>0.184</v>
      </c>
      <c r="P12" s="107">
        <v>0.24399999999999999</v>
      </c>
      <c r="Q12" s="158">
        <f>+O12+Q10</f>
        <v>0.39900000000000002</v>
      </c>
      <c r="R12" s="158">
        <f>+P12+R10</f>
        <v>0.52899999999999991</v>
      </c>
      <c r="S12" s="38">
        <f t="shared" ref="S12:T15" si="0">+Q12-O12</f>
        <v>0.21500000000000002</v>
      </c>
      <c r="T12" s="19">
        <f t="shared" si="0"/>
        <v>0.28499999999999992</v>
      </c>
      <c r="U12" s="369"/>
      <c r="V12" s="140">
        <v>250</v>
      </c>
      <c r="W12" s="45">
        <v>100</v>
      </c>
      <c r="X12" s="371"/>
      <c r="Y12" s="373"/>
      <c r="Z12" s="362"/>
      <c r="AA12" s="442"/>
      <c r="AB12" s="373"/>
      <c r="AC12" s="386"/>
      <c r="AE12" s="31"/>
    </row>
    <row r="13" spans="1:52" ht="16.5" customHeight="1" thickTop="1" thickBot="1" x14ac:dyDescent="0.35">
      <c r="A13" s="30"/>
      <c r="B13" s="39">
        <v>2020</v>
      </c>
      <c r="C13" s="108">
        <v>1.0181370000000001</v>
      </c>
      <c r="D13" s="109">
        <v>4.8136999999999999</v>
      </c>
      <c r="E13" s="109">
        <v>231.9922</v>
      </c>
      <c r="F13" s="128">
        <f>SUM(C13:E13)</f>
        <v>237.824037</v>
      </c>
      <c r="G13" s="123">
        <f>+M13*H13</f>
        <v>3524375</v>
      </c>
      <c r="H13" s="124">
        <v>25</v>
      </c>
      <c r="I13" s="125">
        <f>+G13/E13</f>
        <v>15191.78230992249</v>
      </c>
      <c r="J13" s="122">
        <f>+N13*K13</f>
        <v>254730</v>
      </c>
      <c r="K13" s="130">
        <v>6</v>
      </c>
      <c r="L13" s="135">
        <v>120000</v>
      </c>
      <c r="M13" s="110">
        <v>140975</v>
      </c>
      <c r="N13" s="111">
        <v>42455</v>
      </c>
      <c r="O13" s="112">
        <f>+$M13*O$12</f>
        <v>25939.399999999998</v>
      </c>
      <c r="P13" s="113">
        <f>+$N13*P$12</f>
        <v>10359.02</v>
      </c>
      <c r="Q13" s="12">
        <f>+$M13*Q$12</f>
        <v>56249.025000000001</v>
      </c>
      <c r="R13" s="13">
        <f>+$N13*R$12</f>
        <v>22458.694999999996</v>
      </c>
      <c r="S13" s="17">
        <f t="shared" si="0"/>
        <v>30309.625000000004</v>
      </c>
      <c r="T13" s="4">
        <f t="shared" si="0"/>
        <v>12099.674999999996</v>
      </c>
      <c r="U13" s="7">
        <f>+S13+T13</f>
        <v>42409.3</v>
      </c>
      <c r="V13" s="17">
        <f t="shared" ref="V13:W17" si="1">V$12*C13</f>
        <v>254.53425000000001</v>
      </c>
      <c r="W13" s="3">
        <f t="shared" si="1"/>
        <v>481.37</v>
      </c>
      <c r="X13" s="114">
        <f>+V13+W13</f>
        <v>735.90425000000005</v>
      </c>
      <c r="Y13" s="169">
        <v>6900</v>
      </c>
      <c r="Z13" s="177">
        <f>+Q13+R13+V13+W13+Y13</f>
        <v>86343.624249999993</v>
      </c>
      <c r="AA13" s="115">
        <f>+U13+X13+Y13</f>
        <v>50045.204250000003</v>
      </c>
      <c r="AB13" s="138">
        <v>-6900</v>
      </c>
      <c r="AC13" s="178">
        <f>+Z13+AB13</f>
        <v>79443.624249999993</v>
      </c>
      <c r="AE13" s="31"/>
      <c r="AG13" s="433" t="s">
        <v>91</v>
      </c>
      <c r="AH13" s="434"/>
      <c r="AI13" s="434"/>
      <c r="AJ13" s="434"/>
      <c r="AK13" s="434"/>
      <c r="AL13" s="434"/>
      <c r="AM13" s="434"/>
      <c r="AN13" s="434"/>
      <c r="AO13" s="435"/>
      <c r="AQ13" s="433" t="s">
        <v>93</v>
      </c>
      <c r="AR13" s="434"/>
      <c r="AS13" s="434"/>
      <c r="AT13" s="434"/>
      <c r="AU13" s="434"/>
      <c r="AV13" s="434"/>
      <c r="AW13" s="434"/>
      <c r="AX13" s="434"/>
      <c r="AY13" s="434"/>
      <c r="AZ13" s="435"/>
    </row>
    <row r="14" spans="1:52" ht="16.5" customHeight="1" thickBot="1" x14ac:dyDescent="0.35">
      <c r="A14" s="30"/>
      <c r="B14" s="28">
        <v>2021</v>
      </c>
      <c r="C14" s="41">
        <v>1.4543999999999999</v>
      </c>
      <c r="D14" s="42">
        <v>5.4917999999999996</v>
      </c>
      <c r="E14" s="42">
        <v>240.6995</v>
      </c>
      <c r="F14" s="126">
        <f t="shared" ref="F14:F17" si="2">SUM(C14:E14)</f>
        <v>247.64570000000001</v>
      </c>
      <c r="G14" s="129">
        <f>+M14*H14</f>
        <v>3524375</v>
      </c>
      <c r="H14" s="130">
        <v>25</v>
      </c>
      <c r="I14" s="131">
        <f t="shared" ref="I14:I17" si="3">+G14/E14</f>
        <v>14642.219863356591</v>
      </c>
      <c r="J14" s="141">
        <f t="shared" ref="J14:J17" si="4">+N14*K14</f>
        <v>273594</v>
      </c>
      <c r="K14" s="130">
        <v>6</v>
      </c>
      <c r="L14" s="135">
        <v>120000</v>
      </c>
      <c r="M14" s="2">
        <v>140975</v>
      </c>
      <c r="N14" s="11">
        <v>45599</v>
      </c>
      <c r="O14" s="12">
        <f>+$M14*O$12</f>
        <v>25939.399999999998</v>
      </c>
      <c r="P14" s="13">
        <f>+$N14*P$12</f>
        <v>11126.155999999999</v>
      </c>
      <c r="Q14" s="12">
        <f>+$M14*Q$12</f>
        <v>56249.025000000001</v>
      </c>
      <c r="R14" s="13">
        <f>+$N14*R$12</f>
        <v>24121.870999999996</v>
      </c>
      <c r="S14" s="17">
        <f t="shared" si="0"/>
        <v>30309.625000000004</v>
      </c>
      <c r="T14" s="4">
        <f t="shared" si="0"/>
        <v>12995.714999999997</v>
      </c>
      <c r="U14" s="7">
        <f>+S14+T14</f>
        <v>43305.34</v>
      </c>
      <c r="V14" s="17">
        <f t="shared" si="1"/>
        <v>363.59999999999997</v>
      </c>
      <c r="W14" s="3">
        <f t="shared" si="1"/>
        <v>549.17999999999995</v>
      </c>
      <c r="X14" s="36">
        <f>+V14+W14</f>
        <v>912.78</v>
      </c>
      <c r="Y14" s="170">
        <f>+Y13</f>
        <v>6900</v>
      </c>
      <c r="Z14" s="164">
        <f t="shared" ref="Z14:Z17" si="5">+Q14+R14+V14+W14+Y14</f>
        <v>88183.675999999992</v>
      </c>
      <c r="AA14" s="16">
        <f>+U14+X14+Y14</f>
        <v>51118.119999999995</v>
      </c>
      <c r="AB14" s="139">
        <f>+AB13</f>
        <v>-6900</v>
      </c>
      <c r="AC14" s="179">
        <f t="shared" ref="AC14:AC17" si="6">+Z14+AB14</f>
        <v>81283.675999999992</v>
      </c>
      <c r="AE14" s="31"/>
      <c r="AG14" s="438" t="s">
        <v>86</v>
      </c>
      <c r="AH14" s="390" t="s">
        <v>21</v>
      </c>
      <c r="AI14" s="93" t="s">
        <v>20</v>
      </c>
      <c r="AJ14" s="75"/>
      <c r="AK14" s="74" t="s">
        <v>19</v>
      </c>
      <c r="AL14" s="75"/>
      <c r="AM14" s="75" t="s">
        <v>0</v>
      </c>
      <c r="AN14" s="75"/>
      <c r="AO14" s="288" t="s">
        <v>2</v>
      </c>
      <c r="AQ14" s="476"/>
      <c r="AR14" s="460" t="s">
        <v>94</v>
      </c>
      <c r="AS14" s="461"/>
      <c r="AT14" s="461"/>
      <c r="AU14" s="461"/>
      <c r="AV14" s="462"/>
      <c r="AW14" s="460" t="s">
        <v>98</v>
      </c>
      <c r="AX14" s="461"/>
      <c r="AY14" s="462"/>
      <c r="AZ14" s="466" t="s">
        <v>97</v>
      </c>
    </row>
    <row r="15" spans="1:52" ht="15.6" thickTop="1" thickBot="1" x14ac:dyDescent="0.35">
      <c r="A15" s="30"/>
      <c r="B15" s="28">
        <v>2022</v>
      </c>
      <c r="C15" s="41">
        <v>2.4422999999999999</v>
      </c>
      <c r="D15" s="42">
        <v>6.2918000000000003</v>
      </c>
      <c r="E15" s="42">
        <v>241.37289999999999</v>
      </c>
      <c r="F15" s="126">
        <f t="shared" si="2"/>
        <v>250.107</v>
      </c>
      <c r="G15" s="129">
        <f>+M15*H15</f>
        <v>3509575</v>
      </c>
      <c r="H15" s="130">
        <v>25</v>
      </c>
      <c r="I15" s="131">
        <f t="shared" si="3"/>
        <v>14540.053999434071</v>
      </c>
      <c r="J15" s="141">
        <f t="shared" si="4"/>
        <v>272664</v>
      </c>
      <c r="K15" s="130">
        <v>6</v>
      </c>
      <c r="L15" s="135">
        <v>120000</v>
      </c>
      <c r="M15" s="2">
        <v>140383</v>
      </c>
      <c r="N15" s="11">
        <v>45444</v>
      </c>
      <c r="O15" s="12">
        <f>+$M15*O$12</f>
        <v>25830.471999999998</v>
      </c>
      <c r="P15" s="13">
        <f>+$N15*P$12</f>
        <v>11088.335999999999</v>
      </c>
      <c r="Q15" s="12">
        <f>+$M15*Q$12</f>
        <v>56012.817000000003</v>
      </c>
      <c r="R15" s="13">
        <f>+$N15*R$12</f>
        <v>24039.875999999997</v>
      </c>
      <c r="S15" s="17">
        <f t="shared" si="0"/>
        <v>30182.345000000005</v>
      </c>
      <c r="T15" s="4">
        <f t="shared" si="0"/>
        <v>12951.539999999997</v>
      </c>
      <c r="U15" s="7">
        <f>+S15+T15</f>
        <v>43133.885000000002</v>
      </c>
      <c r="V15" s="17">
        <f t="shared" si="1"/>
        <v>610.57499999999993</v>
      </c>
      <c r="W15" s="3">
        <f t="shared" si="1"/>
        <v>629.18000000000006</v>
      </c>
      <c r="X15" s="36">
        <f>+V15+W15</f>
        <v>1239.7550000000001</v>
      </c>
      <c r="Y15" s="170">
        <f>+Y14</f>
        <v>6900</v>
      </c>
      <c r="Z15" s="164">
        <f t="shared" si="5"/>
        <v>88192.447999999989</v>
      </c>
      <c r="AA15" s="16">
        <f>+U15+X15+Y15</f>
        <v>51273.64</v>
      </c>
      <c r="AB15" s="139">
        <f>+AB14</f>
        <v>-6900</v>
      </c>
      <c r="AC15" s="179">
        <f t="shared" si="6"/>
        <v>81292.447999999989</v>
      </c>
      <c r="AE15" s="31"/>
      <c r="AG15" s="438"/>
      <c r="AH15" s="440"/>
      <c r="AI15" s="289">
        <f>+V12</f>
        <v>250</v>
      </c>
      <c r="AJ15" s="71" t="s">
        <v>33</v>
      </c>
      <c r="AK15" s="45">
        <f>+W12</f>
        <v>100</v>
      </c>
      <c r="AL15" s="76" t="s">
        <v>33</v>
      </c>
      <c r="AM15" s="77" t="s">
        <v>32</v>
      </c>
      <c r="AN15" s="72" t="s">
        <v>33</v>
      </c>
      <c r="AO15" s="248"/>
      <c r="AQ15" s="477"/>
      <c r="AR15" s="446" t="s">
        <v>96</v>
      </c>
      <c r="AS15" s="447"/>
      <c r="AT15" s="447"/>
      <c r="AU15" s="447"/>
      <c r="AV15" s="448"/>
      <c r="AW15" s="451" t="s">
        <v>44</v>
      </c>
      <c r="AX15" s="455" t="s">
        <v>78</v>
      </c>
      <c r="AY15" s="455" t="s">
        <v>95</v>
      </c>
      <c r="AZ15" s="467"/>
    </row>
    <row r="16" spans="1:52" ht="16.5" customHeight="1" thickTop="1" x14ac:dyDescent="0.3">
      <c r="A16" s="30"/>
      <c r="B16" s="28">
        <v>2023</v>
      </c>
      <c r="C16" s="41">
        <v>3.5558999999999998</v>
      </c>
      <c r="D16" s="42">
        <v>7.3922999999999996</v>
      </c>
      <c r="E16" s="42">
        <v>242.87029999999999</v>
      </c>
      <c r="F16" s="126">
        <f t="shared" si="2"/>
        <v>253.81849999999997</v>
      </c>
      <c r="G16" s="129">
        <f>+M16*H16</f>
        <v>3564975</v>
      </c>
      <c r="H16" s="130">
        <v>25</v>
      </c>
      <c r="I16" s="131">
        <f t="shared" si="3"/>
        <v>14678.513593469437</v>
      </c>
      <c r="J16" s="141">
        <f t="shared" si="4"/>
        <v>271830</v>
      </c>
      <c r="K16" s="130">
        <v>6</v>
      </c>
      <c r="L16" s="135">
        <v>120000</v>
      </c>
      <c r="M16" s="2">
        <v>142599</v>
      </c>
      <c r="N16" s="11">
        <v>45305</v>
      </c>
      <c r="O16" s="12">
        <f>+$M16*O$12</f>
        <v>26238.216</v>
      </c>
      <c r="P16" s="13">
        <f>+$N16*P$12</f>
        <v>11054.42</v>
      </c>
      <c r="Q16" s="12">
        <f>+$M16*Q$12</f>
        <v>56897.001000000004</v>
      </c>
      <c r="R16" s="13">
        <f>+$N16*R$12</f>
        <v>23966.344999999998</v>
      </c>
      <c r="S16" s="17">
        <f t="shared" ref="S16:T16" si="7">+Q16-O16</f>
        <v>30658.785000000003</v>
      </c>
      <c r="T16" s="4">
        <f t="shared" si="7"/>
        <v>12911.924999999997</v>
      </c>
      <c r="U16" s="36">
        <f t="shared" ref="U16" si="8">+S16+T16</f>
        <v>43570.71</v>
      </c>
      <c r="V16" s="17">
        <f t="shared" si="1"/>
        <v>888.97499999999991</v>
      </c>
      <c r="W16" s="3">
        <f t="shared" si="1"/>
        <v>739.23</v>
      </c>
      <c r="X16" s="36">
        <f>+V16+W16</f>
        <v>1628.2049999999999</v>
      </c>
      <c r="Y16" s="170">
        <f>+Y15</f>
        <v>6900</v>
      </c>
      <c r="Z16" s="164">
        <f t="shared" si="5"/>
        <v>89391.551000000007</v>
      </c>
      <c r="AA16" s="16">
        <f>+U16+X16+Y16</f>
        <v>52098.915000000001</v>
      </c>
      <c r="AB16" s="139">
        <f>+AB15</f>
        <v>-6900</v>
      </c>
      <c r="AC16" s="179">
        <f t="shared" si="6"/>
        <v>82491.551000000007</v>
      </c>
      <c r="AE16" s="31"/>
      <c r="AG16" s="439"/>
      <c r="AH16" s="266" t="s">
        <v>40</v>
      </c>
      <c r="AI16" s="425" t="s">
        <v>87</v>
      </c>
      <c r="AJ16" s="426"/>
      <c r="AK16" s="426"/>
      <c r="AL16" s="426"/>
      <c r="AM16" s="426"/>
      <c r="AN16" s="426"/>
      <c r="AO16" s="427"/>
      <c r="AQ16" s="478"/>
      <c r="AR16" s="456" t="s">
        <v>99</v>
      </c>
      <c r="AS16" s="350" t="s">
        <v>44</v>
      </c>
      <c r="AT16" s="350" t="s">
        <v>45</v>
      </c>
      <c r="AU16" s="458" t="s">
        <v>7</v>
      </c>
      <c r="AV16" s="374" t="s">
        <v>69</v>
      </c>
      <c r="AW16" s="290" t="s">
        <v>102</v>
      </c>
      <c r="AX16" s="458" t="s">
        <v>7</v>
      </c>
      <c r="AY16" s="458" t="s">
        <v>69</v>
      </c>
      <c r="AZ16" s="467"/>
    </row>
    <row r="17" spans="1:52" ht="15" thickBot="1" x14ac:dyDescent="0.35">
      <c r="A17" s="30"/>
      <c r="B17" s="29">
        <v>2024</v>
      </c>
      <c r="C17" s="43">
        <v>4.0999999999999996</v>
      </c>
      <c r="D17" s="44">
        <f>+D16+(D16*0.18)</f>
        <v>8.7229139999999994</v>
      </c>
      <c r="E17" s="44">
        <f>+E16+(E16*0.01)</f>
        <v>245.299003</v>
      </c>
      <c r="F17" s="127">
        <f t="shared" si="2"/>
        <v>258.121917</v>
      </c>
      <c r="G17" s="132">
        <f>+M17*H17</f>
        <v>3561100</v>
      </c>
      <c r="H17" s="133">
        <v>25</v>
      </c>
      <c r="I17" s="134">
        <f t="shared" si="3"/>
        <v>14517.384728220848</v>
      </c>
      <c r="J17" s="142">
        <f t="shared" si="4"/>
        <v>275196</v>
      </c>
      <c r="K17" s="133">
        <v>6</v>
      </c>
      <c r="L17" s="143">
        <v>120000</v>
      </c>
      <c r="M17" s="268">
        <v>142444</v>
      </c>
      <c r="N17" s="287">
        <v>45866</v>
      </c>
      <c r="O17" s="14">
        <f>+$M17*O$12</f>
        <v>26209.696</v>
      </c>
      <c r="P17" s="15">
        <f>+$N17*P$12</f>
        <v>11191.304</v>
      </c>
      <c r="Q17" s="14">
        <f>+$M17*Q$12</f>
        <v>56835.156000000003</v>
      </c>
      <c r="R17" s="15">
        <f>+$N17*R$12</f>
        <v>24263.113999999998</v>
      </c>
      <c r="S17" s="246">
        <f>+Q17-O17</f>
        <v>30625.460000000003</v>
      </c>
      <c r="T17" s="20">
        <f>+R17-P17</f>
        <v>13071.809999999998</v>
      </c>
      <c r="U17" s="245">
        <f>+S17+T17</f>
        <v>43697.270000000004</v>
      </c>
      <c r="V17" s="18">
        <f t="shared" si="1"/>
        <v>1025</v>
      </c>
      <c r="W17" s="3">
        <f t="shared" si="1"/>
        <v>872.29139999999995</v>
      </c>
      <c r="X17" s="36">
        <f>+V17+W17</f>
        <v>1897.2914000000001</v>
      </c>
      <c r="Y17" s="170">
        <f>+Y16</f>
        <v>6900</v>
      </c>
      <c r="Z17" s="164">
        <f t="shared" si="5"/>
        <v>89895.561400000006</v>
      </c>
      <c r="AA17" s="16">
        <f>+U17+X17+Y17</f>
        <v>52494.561400000006</v>
      </c>
      <c r="AB17" s="139">
        <f>+AB16</f>
        <v>-6900</v>
      </c>
      <c r="AC17" s="179">
        <f t="shared" si="6"/>
        <v>82995.561400000006</v>
      </c>
      <c r="AE17" s="31"/>
      <c r="AG17" s="436">
        <v>2024</v>
      </c>
      <c r="AH17" s="267">
        <v>0.95</v>
      </c>
      <c r="AI17" s="428" t="s">
        <v>88</v>
      </c>
      <c r="AJ17" s="429"/>
      <c r="AK17" s="429"/>
      <c r="AL17" s="429"/>
      <c r="AM17" s="429"/>
      <c r="AN17" s="429"/>
      <c r="AO17" s="430"/>
      <c r="AQ17" s="473">
        <v>2024</v>
      </c>
      <c r="AR17" s="457"/>
      <c r="AS17" s="351"/>
      <c r="AT17" s="351"/>
      <c r="AU17" s="459"/>
      <c r="AV17" s="375"/>
      <c r="AW17" s="481">
        <v>0.02</v>
      </c>
      <c r="AX17" s="459"/>
      <c r="AY17" s="459"/>
      <c r="AZ17" s="468"/>
    </row>
    <row r="18" spans="1:52" ht="15" customHeight="1" thickBot="1" x14ac:dyDescent="0.35">
      <c r="A18" s="30"/>
      <c r="B18" s="117"/>
      <c r="C18" s="118"/>
      <c r="D18" s="119"/>
      <c r="E18" s="119"/>
      <c r="F18" s="119"/>
      <c r="G18" s="119"/>
      <c r="H18" s="119"/>
      <c r="I18" s="119"/>
      <c r="J18" s="119"/>
      <c r="K18" s="119"/>
      <c r="L18" s="119"/>
      <c r="M18" s="185">
        <f>SUM(M13:M17)</f>
        <v>707376</v>
      </c>
      <c r="N18" s="186">
        <f>SUM(N13:N17)</f>
        <v>224669</v>
      </c>
      <c r="O18" s="12"/>
      <c r="P18" s="6"/>
      <c r="Q18" s="161"/>
      <c r="R18" s="161"/>
      <c r="S18" s="162"/>
      <c r="T18" s="8"/>
      <c r="U18" s="8"/>
      <c r="V18" s="8"/>
      <c r="W18" s="176" t="s">
        <v>66</v>
      </c>
      <c r="X18" s="78"/>
      <c r="Y18" s="182"/>
      <c r="Z18" s="183">
        <f>SUM(Z13:Z17)</f>
        <v>442006.86064999993</v>
      </c>
      <c r="AA18" s="79"/>
      <c r="AB18" s="171"/>
      <c r="AC18" s="184">
        <f>SUM(AC13:AC17)</f>
        <v>407506.86064999993</v>
      </c>
      <c r="AE18" s="31"/>
      <c r="AG18" s="437"/>
      <c r="AH18" s="265"/>
      <c r="AI18" s="264">
        <f>+C17</f>
        <v>4.0999999999999996</v>
      </c>
      <c r="AJ18" s="100">
        <f>+AI18/AO18</f>
        <v>1.5883966955041635E-2</v>
      </c>
      <c r="AK18" s="102">
        <f>+D17</f>
        <v>8.7229139999999994</v>
      </c>
      <c r="AL18" s="100">
        <f>+AK18/AO18</f>
        <v>3.3793775055529281E-2</v>
      </c>
      <c r="AM18" s="102">
        <f>+E17</f>
        <v>245.299003</v>
      </c>
      <c r="AN18" s="100">
        <f>+AM18/AO18</f>
        <v>0.95032225798942904</v>
      </c>
      <c r="AO18" s="249">
        <f>+AI18+AK18+AM18</f>
        <v>258.121917</v>
      </c>
      <c r="AQ18" s="474" t="s">
        <v>22</v>
      </c>
      <c r="AR18" s="222">
        <f>+G26</f>
        <v>3513908.2179749999</v>
      </c>
      <c r="AS18" s="445">
        <f>+H26</f>
        <v>25</v>
      </c>
      <c r="AT18" s="453">
        <f>+I26</f>
        <v>15000</v>
      </c>
      <c r="AU18" s="463">
        <f>+AR18/AS18</f>
        <v>140556.32871899998</v>
      </c>
      <c r="AV18" s="114">
        <f>+AU18*$Q$12</f>
        <v>56081.975158880996</v>
      </c>
      <c r="AW18" s="465">
        <f>+AS18+(AS18*$AW$17)</f>
        <v>25.5</v>
      </c>
      <c r="AX18" s="450">
        <f>+AR18/AW18</f>
        <v>137800.3222735294</v>
      </c>
      <c r="AY18" s="449">
        <f>+AX18*Q$12</f>
        <v>54982.328587138232</v>
      </c>
      <c r="AZ18" s="469">
        <f>+AV18-AY18</f>
        <v>1099.6465717427636</v>
      </c>
    </row>
    <row r="19" spans="1:52" ht="15" customHeight="1" thickBot="1" x14ac:dyDescent="0.35">
      <c r="A19" s="30"/>
      <c r="B19" s="103"/>
      <c r="C19" s="41"/>
      <c r="D19" s="116"/>
      <c r="E19" s="116"/>
      <c r="F19" s="116"/>
      <c r="G19" s="116"/>
      <c r="H19" s="116"/>
      <c r="I19" s="116"/>
      <c r="J19" s="116"/>
      <c r="K19" s="116"/>
      <c r="L19" s="116"/>
      <c r="M19" s="70"/>
      <c r="N19" s="70"/>
      <c r="O19" s="12"/>
      <c r="P19" s="6"/>
      <c r="Q19" s="10"/>
      <c r="R19" s="10"/>
      <c r="S19" s="139"/>
      <c r="T19" s="4"/>
      <c r="U19" s="4"/>
      <c r="V19" s="4"/>
      <c r="W19" s="4"/>
      <c r="X19" s="4"/>
      <c r="Y19" s="4"/>
      <c r="Z19" s="166">
        <f>AVERAGE(Z13:Z17)</f>
        <v>88401.372129999989</v>
      </c>
      <c r="AA19" s="16"/>
      <c r="AC19" s="180">
        <f>AVERAGE(AC13:AC17)</f>
        <v>81501.372129999989</v>
      </c>
      <c r="AE19" s="31"/>
      <c r="AG19" s="423" t="s">
        <v>22</v>
      </c>
      <c r="AH19" s="68">
        <v>4.4999999999999998E-2</v>
      </c>
      <c r="AI19" s="65">
        <f>-AM19*AH$17</f>
        <v>10.486532378249999</v>
      </c>
      <c r="AJ19" s="67"/>
      <c r="AK19" s="65">
        <f>-AM19*(1-AH$17)</f>
        <v>0.55192275675000046</v>
      </c>
      <c r="AL19" s="63"/>
      <c r="AM19" s="66">
        <f>-AM18*AH19</f>
        <v>-11.038455135</v>
      </c>
      <c r="AN19" s="64"/>
      <c r="AO19" s="250">
        <f>SUM(AI19:AM19)</f>
        <v>0</v>
      </c>
      <c r="AQ19" s="475" t="s">
        <v>23</v>
      </c>
      <c r="AR19" s="222">
        <f t="shared" ref="AR19:AR27" si="9">+G27</f>
        <v>3355782.3481661249</v>
      </c>
      <c r="AS19" s="445">
        <f t="shared" ref="AS19:AS27" si="10">+H27</f>
        <v>25</v>
      </c>
      <c r="AT19" s="453">
        <f t="shared" ref="AT19:AT27" si="11">+I27</f>
        <v>15000</v>
      </c>
      <c r="AU19" s="3">
        <f t="shared" ref="AU19:AU27" si="12">+AR19/AS19</f>
        <v>134231.29392664498</v>
      </c>
      <c r="AV19" s="36">
        <f t="shared" ref="AV19:AV27" si="13">+AU19*$Q$12</f>
        <v>53558.286276731349</v>
      </c>
      <c r="AW19" s="465">
        <f>+AW18+(AW18*AW$17)</f>
        <v>26.01</v>
      </c>
      <c r="AX19" s="450">
        <f t="shared" ref="AX19:AX27" si="14">+AR19/AW19</f>
        <v>129018.92918747115</v>
      </c>
      <c r="AY19" s="449">
        <f t="shared" ref="AY19:AY27" si="15">+AX19*Q$12</f>
        <v>51478.552745800989</v>
      </c>
      <c r="AZ19" s="469">
        <f t="shared" ref="AZ19:AZ27" si="16">+AV19-AY19</f>
        <v>2079.7335309303598</v>
      </c>
    </row>
    <row r="20" spans="1:52" ht="15" customHeight="1" thickBot="1" x14ac:dyDescent="0.35">
      <c r="A20" s="30"/>
      <c r="B20" s="103"/>
      <c r="C20" s="41"/>
      <c r="D20" s="116"/>
      <c r="E20" s="116"/>
      <c r="F20" s="116"/>
      <c r="G20" s="116"/>
      <c r="H20" s="116"/>
      <c r="I20" s="116"/>
      <c r="J20" s="116"/>
      <c r="K20" s="116"/>
      <c r="L20" s="116"/>
      <c r="M20" s="70"/>
      <c r="N20" s="70"/>
      <c r="O20" s="12"/>
      <c r="P20" s="6"/>
      <c r="Q20" s="10"/>
      <c r="R20" s="10"/>
      <c r="S20" s="139"/>
      <c r="T20" s="4"/>
      <c r="U20" s="4"/>
      <c r="V20" s="4"/>
      <c r="W20" s="4"/>
      <c r="X20" s="4"/>
      <c r="Y20" s="4"/>
      <c r="Z20" s="174"/>
      <c r="AA20" s="16"/>
      <c r="AC20" s="174"/>
      <c r="AE20" s="31"/>
      <c r="AG20" s="424"/>
      <c r="AH20" s="97"/>
      <c r="AI20" s="94">
        <f>+AI18+AI19</f>
        <v>14.586532378249998</v>
      </c>
      <c r="AJ20" s="95">
        <f>+AI20/AO20</f>
        <v>5.6510243484089721E-2</v>
      </c>
      <c r="AK20" s="94">
        <f>+AK18+AK19</f>
        <v>9.2748367567500001</v>
      </c>
      <c r="AL20" s="95">
        <f>+AK20/AO20</f>
        <v>3.5932000136005497E-2</v>
      </c>
      <c r="AM20" s="94">
        <f>+AM18+AM19</f>
        <v>234.26054786500001</v>
      </c>
      <c r="AN20" s="96">
        <f>+AM20/AO20</f>
        <v>0.90755775637990477</v>
      </c>
      <c r="AO20" s="251">
        <f>+AO18+AO19</f>
        <v>258.121917</v>
      </c>
      <c r="AQ20" s="452" t="s">
        <v>24</v>
      </c>
      <c r="AR20" s="222">
        <f t="shared" si="9"/>
        <v>3204772.1424986497</v>
      </c>
      <c r="AS20" s="445">
        <f t="shared" si="10"/>
        <v>25</v>
      </c>
      <c r="AT20" s="453">
        <f t="shared" si="11"/>
        <v>15000</v>
      </c>
      <c r="AU20" s="3">
        <f t="shared" si="12"/>
        <v>128190.88569994598</v>
      </c>
      <c r="AV20" s="36">
        <f t="shared" si="13"/>
        <v>51148.163394278447</v>
      </c>
      <c r="AW20" s="465">
        <f t="shared" ref="AW20:AW27" si="17">+AW19+(AW19*AW$17)</f>
        <v>26.530200000000001</v>
      </c>
      <c r="AX20" s="450">
        <f t="shared" si="14"/>
        <v>120797.13468042645</v>
      </c>
      <c r="AY20" s="449">
        <f t="shared" si="15"/>
        <v>48198.056737490158</v>
      </c>
      <c r="AZ20" s="469">
        <f t="shared" si="16"/>
        <v>2950.1066567882881</v>
      </c>
    </row>
    <row r="21" spans="1:52" ht="15" customHeight="1" thickTop="1" thickBot="1" x14ac:dyDescent="0.35">
      <c r="A21" s="30"/>
      <c r="B21" s="103"/>
      <c r="C21" s="41"/>
      <c r="D21" s="116"/>
      <c r="E21" s="116"/>
      <c r="F21" s="116"/>
      <c r="G21" s="116"/>
      <c r="H21" s="116"/>
      <c r="I21" s="116"/>
      <c r="J21" s="116"/>
      <c r="K21" s="116"/>
      <c r="L21" s="116"/>
      <c r="M21" s="70"/>
      <c r="N21" s="70"/>
      <c r="O21" s="12"/>
      <c r="P21" s="6"/>
      <c r="Q21" s="10"/>
      <c r="R21" s="10"/>
      <c r="S21" s="139"/>
      <c r="T21" s="4"/>
      <c r="U21" s="4"/>
      <c r="V21" s="4"/>
      <c r="W21" s="4"/>
      <c r="X21" s="4"/>
      <c r="Y21" s="4"/>
      <c r="Z21" s="163"/>
      <c r="AA21" s="4"/>
      <c r="AB21" s="318" t="s">
        <v>65</v>
      </c>
      <c r="AD21" s="318" t="s">
        <v>74</v>
      </c>
      <c r="AE21" s="31"/>
      <c r="AG21" s="423" t="s">
        <v>23</v>
      </c>
      <c r="AH21" s="69">
        <f>+AH19</f>
        <v>4.4999999999999998E-2</v>
      </c>
      <c r="AI21" s="62">
        <f>-AM21*AH$17</f>
        <v>10.014638421228749</v>
      </c>
      <c r="AJ21" s="62"/>
      <c r="AK21" s="62">
        <f>-AM21*(1-AH$17)</f>
        <v>0.52708623269625043</v>
      </c>
      <c r="AL21" s="62"/>
      <c r="AM21" s="64">
        <f>-(+AM18+AM19)*AH21</f>
        <v>-10.541724653925</v>
      </c>
      <c r="AN21" s="64"/>
      <c r="AO21" s="252"/>
      <c r="AQ21" s="452" t="s">
        <v>25</v>
      </c>
      <c r="AR21" s="222">
        <f t="shared" si="9"/>
        <v>3060557.3960862104</v>
      </c>
      <c r="AS21" s="445">
        <f t="shared" si="10"/>
        <v>25</v>
      </c>
      <c r="AT21" s="453">
        <f t="shared" si="11"/>
        <v>15000</v>
      </c>
      <c r="AU21" s="3">
        <f t="shared" si="12"/>
        <v>122422.29584344842</v>
      </c>
      <c r="AV21" s="36">
        <f t="shared" si="13"/>
        <v>48846.496041535924</v>
      </c>
      <c r="AW21" s="465">
        <f t="shared" si="17"/>
        <v>27.060804000000001</v>
      </c>
      <c r="AX21" s="450">
        <f t="shared" si="14"/>
        <v>113099.27805863456</v>
      </c>
      <c r="AY21" s="449">
        <f t="shared" si="15"/>
        <v>45126.611945395191</v>
      </c>
      <c r="AZ21" s="469">
        <f t="shared" si="16"/>
        <v>3719.8840961407332</v>
      </c>
    </row>
    <row r="22" spans="1:52" ht="15" customHeight="1" x14ac:dyDescent="0.3">
      <c r="A22" s="30"/>
      <c r="B22" s="293" t="s">
        <v>76</v>
      </c>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5"/>
      <c r="AA22" s="4"/>
      <c r="AB22" s="319"/>
      <c r="AD22" s="319"/>
      <c r="AE22" s="31"/>
      <c r="AG22" s="424"/>
      <c r="AH22" s="98"/>
      <c r="AI22" s="99">
        <f>+AI20+AI21</f>
        <v>24.601170799478748</v>
      </c>
      <c r="AJ22" s="100">
        <f>+AI22/AO22</f>
        <v>9.5308337569330645E-2</v>
      </c>
      <c r="AK22" s="99">
        <f>+AK20+AK21</f>
        <v>9.8019229894462505</v>
      </c>
      <c r="AL22" s="100">
        <f>+AK22/AO22</f>
        <v>3.7974005087860287E-2</v>
      </c>
      <c r="AM22" s="99">
        <f>+AM20+AM21</f>
        <v>223.71882321107501</v>
      </c>
      <c r="AN22" s="100">
        <f>+AM22/AO22</f>
        <v>0.86671765734280903</v>
      </c>
      <c r="AO22" s="249">
        <f>+AO20+AO21</f>
        <v>258.121917</v>
      </c>
      <c r="AQ22" s="452" t="s">
        <v>26</v>
      </c>
      <c r="AR22" s="222">
        <f t="shared" si="9"/>
        <v>2922832.3132623308</v>
      </c>
      <c r="AS22" s="445">
        <f>+H30</f>
        <v>25</v>
      </c>
      <c r="AT22" s="453">
        <f t="shared" si="11"/>
        <v>15000</v>
      </c>
      <c r="AU22" s="3">
        <f t="shared" si="12"/>
        <v>116913.29253049323</v>
      </c>
      <c r="AV22" s="36">
        <f t="shared" si="13"/>
        <v>46648.4037196668</v>
      </c>
      <c r="AW22" s="465">
        <f t="shared" si="17"/>
        <v>27.602020080000003</v>
      </c>
      <c r="AX22" s="450">
        <f t="shared" si="14"/>
        <v>105891.97112352548</v>
      </c>
      <c r="AY22" s="449">
        <f t="shared" si="15"/>
        <v>42250.896478286668</v>
      </c>
      <c r="AZ22" s="469">
        <f t="shared" si="16"/>
        <v>4397.5072413801317</v>
      </c>
    </row>
    <row r="23" spans="1:52" ht="15" customHeight="1" thickBot="1" x14ac:dyDescent="0.35">
      <c r="A23" s="30"/>
      <c r="B23" s="296"/>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8"/>
      <c r="AA23" s="4"/>
      <c r="AB23" s="319"/>
      <c r="AD23" s="319"/>
      <c r="AE23" s="31"/>
      <c r="AG23" s="423" t="s">
        <v>24</v>
      </c>
      <c r="AH23" s="69">
        <f>+AH21</f>
        <v>4.4999999999999998E-2</v>
      </c>
      <c r="AI23" s="65">
        <f>-AM23*AH$17</f>
        <v>9.5639796922734561</v>
      </c>
      <c r="AJ23" s="62"/>
      <c r="AK23" s="65">
        <f>-AM23*(1-AH$17)</f>
        <v>0.50336735222491913</v>
      </c>
      <c r="AL23" s="62"/>
      <c r="AM23" s="64">
        <f>-(+AM18+AM19+AM21)*AH23</f>
        <v>-10.067347044498375</v>
      </c>
      <c r="AN23" s="64"/>
      <c r="AO23" s="252"/>
      <c r="AQ23" s="452" t="s">
        <v>27</v>
      </c>
      <c r="AR23" s="222">
        <f t="shared" si="9"/>
        <v>2791304.859165526</v>
      </c>
      <c r="AS23" s="445">
        <f t="shared" si="10"/>
        <v>25</v>
      </c>
      <c r="AT23" s="453">
        <f t="shared" si="11"/>
        <v>15000</v>
      </c>
      <c r="AU23" s="3">
        <f t="shared" si="12"/>
        <v>111652.19436662104</v>
      </c>
      <c r="AV23" s="36">
        <f t="shared" si="13"/>
        <v>44549.225552281801</v>
      </c>
      <c r="AW23" s="465">
        <f t="shared" si="17"/>
        <v>28.154060481600002</v>
      </c>
      <c r="AX23" s="450">
        <f t="shared" si="14"/>
        <v>99143.953355849837</v>
      </c>
      <c r="AY23" s="449">
        <f t="shared" si="15"/>
        <v>39558.437388984086</v>
      </c>
      <c r="AZ23" s="469">
        <f t="shared" si="16"/>
        <v>4990.7881632977151</v>
      </c>
    </row>
    <row r="24" spans="1:52" ht="15.6" customHeight="1" thickTop="1" thickBot="1" x14ac:dyDescent="0.35">
      <c r="A24" s="30"/>
      <c r="B24" s="291" t="s">
        <v>8</v>
      </c>
      <c r="C24" s="350" t="s">
        <v>20</v>
      </c>
      <c r="D24" s="350" t="s">
        <v>42</v>
      </c>
      <c r="E24" s="350" t="s">
        <v>0</v>
      </c>
      <c r="F24" s="348" t="s">
        <v>2</v>
      </c>
      <c r="G24" s="331" t="s">
        <v>5</v>
      </c>
      <c r="H24" s="332"/>
      <c r="I24" s="333"/>
      <c r="J24" s="331" t="s">
        <v>1</v>
      </c>
      <c r="K24" s="332"/>
      <c r="L24" s="333"/>
      <c r="M24" s="331" t="s">
        <v>7</v>
      </c>
      <c r="N24" s="333"/>
      <c r="O24" s="150"/>
      <c r="P24" s="151"/>
      <c r="Q24" s="331" t="s">
        <v>69</v>
      </c>
      <c r="R24" s="333"/>
      <c r="S24" s="273"/>
      <c r="T24" s="274"/>
      <c r="U24" s="275"/>
      <c r="V24" s="331" t="s">
        <v>69</v>
      </c>
      <c r="W24" s="363"/>
      <c r="X24" s="374" t="s">
        <v>70</v>
      </c>
      <c r="Y24" s="364" t="s">
        <v>11</v>
      </c>
      <c r="Z24" s="366" t="s">
        <v>58</v>
      </c>
      <c r="AA24" s="8"/>
      <c r="AB24" s="378"/>
      <c r="AC24" s="381" t="s">
        <v>73</v>
      </c>
      <c r="AD24" s="319"/>
      <c r="AE24" s="31"/>
      <c r="AG24" s="424"/>
      <c r="AH24" s="98"/>
      <c r="AI24" s="99">
        <f>+AI22+AI23</f>
        <v>34.1651504917522</v>
      </c>
      <c r="AJ24" s="100">
        <f>+AI24/AO24</f>
        <v>0.13236051742073573</v>
      </c>
      <c r="AK24" s="99">
        <f>+AK22+AK23</f>
        <v>10.305290341671169</v>
      </c>
      <c r="AL24" s="100">
        <f>+AK24/AO24</f>
        <v>3.9924119816881605E-2</v>
      </c>
      <c r="AM24" s="99">
        <f>+AM22+AM23</f>
        <v>213.65147616657663</v>
      </c>
      <c r="AN24" s="100">
        <f>+AM24/AO24</f>
        <v>0.82771536276238267</v>
      </c>
      <c r="AO24" s="249">
        <f>+AO22+AO23</f>
        <v>258.121917</v>
      </c>
      <c r="AQ24" s="452" t="s">
        <v>28</v>
      </c>
      <c r="AR24" s="222">
        <f t="shared" si="9"/>
        <v>2665696.1405030773</v>
      </c>
      <c r="AS24" s="445">
        <f t="shared" si="10"/>
        <v>25</v>
      </c>
      <c r="AT24" s="453">
        <f t="shared" si="11"/>
        <v>15000</v>
      </c>
      <c r="AU24" s="3">
        <f t="shared" si="12"/>
        <v>106627.84562012309</v>
      </c>
      <c r="AV24" s="36">
        <f t="shared" si="13"/>
        <v>42544.510402429114</v>
      </c>
      <c r="AW24" s="465">
        <f t="shared" si="17"/>
        <v>28.717141691232001</v>
      </c>
      <c r="AX24" s="450">
        <f t="shared" si="14"/>
        <v>92825.956328271175</v>
      </c>
      <c r="AY24" s="449">
        <f t="shared" si="15"/>
        <v>37037.556574980204</v>
      </c>
      <c r="AZ24" s="469">
        <f t="shared" si="16"/>
        <v>5506.9538274489096</v>
      </c>
    </row>
    <row r="25" spans="1:52" ht="15.6" thickTop="1" thickBot="1" x14ac:dyDescent="0.35">
      <c r="A25" s="30"/>
      <c r="B25" s="292"/>
      <c r="C25" s="351"/>
      <c r="D25" s="351" t="s">
        <v>19</v>
      </c>
      <c r="E25" s="351"/>
      <c r="F25" s="349"/>
      <c r="G25" s="144" t="s">
        <v>16</v>
      </c>
      <c r="H25" s="145" t="s">
        <v>44</v>
      </c>
      <c r="I25" s="146" t="s">
        <v>45</v>
      </c>
      <c r="J25" s="221" t="s">
        <v>16</v>
      </c>
      <c r="K25" s="120" t="s">
        <v>44</v>
      </c>
      <c r="L25" s="121" t="s">
        <v>45</v>
      </c>
      <c r="M25" s="147" t="s">
        <v>5</v>
      </c>
      <c r="N25" s="149" t="s">
        <v>1</v>
      </c>
      <c r="O25" s="12"/>
      <c r="P25" s="13"/>
      <c r="Q25" s="148" t="s">
        <v>5</v>
      </c>
      <c r="R25" s="149" t="s">
        <v>1</v>
      </c>
      <c r="S25" s="276"/>
      <c r="T25" s="277"/>
      <c r="U25" s="278"/>
      <c r="V25" s="147" t="s">
        <v>20</v>
      </c>
      <c r="W25" s="159" t="s">
        <v>42</v>
      </c>
      <c r="X25" s="375"/>
      <c r="Y25" s="365"/>
      <c r="Z25" s="367"/>
      <c r="AA25" s="4"/>
      <c r="AB25" s="196">
        <v>2.5000000000000001E-2</v>
      </c>
      <c r="AC25" s="382"/>
      <c r="AD25" s="320"/>
      <c r="AE25" s="31"/>
      <c r="AG25" s="423" t="s">
        <v>25</v>
      </c>
      <c r="AH25" s="69">
        <f>+AH23</f>
        <v>4.4999999999999998E-2</v>
      </c>
      <c r="AI25" s="65">
        <f>-AM25*AH$17</f>
        <v>9.133600606121151</v>
      </c>
      <c r="AJ25" s="62"/>
      <c r="AK25" s="65">
        <f>-AM25*(1-AH$17)</f>
        <v>0.48071582137479785</v>
      </c>
      <c r="AL25" s="62"/>
      <c r="AM25" s="64">
        <f>-(+AM18+AM19+AM21+AM23)*AH25</f>
        <v>-9.6143164274959485</v>
      </c>
      <c r="AN25" s="64"/>
      <c r="AO25" s="252"/>
      <c r="AQ25" s="452" t="s">
        <v>29</v>
      </c>
      <c r="AR25" s="222">
        <f t="shared" si="9"/>
        <v>2545739.8141804389</v>
      </c>
      <c r="AS25" s="445">
        <f t="shared" si="10"/>
        <v>25</v>
      </c>
      <c r="AT25" s="453">
        <f t="shared" si="11"/>
        <v>15000</v>
      </c>
      <c r="AU25" s="3">
        <f t="shared" si="12"/>
        <v>101829.59256721755</v>
      </c>
      <c r="AV25" s="36">
        <f t="shared" si="13"/>
        <v>40630.007434319807</v>
      </c>
      <c r="AW25" s="465">
        <f t="shared" si="17"/>
        <v>29.291484525056642</v>
      </c>
      <c r="AX25" s="450">
        <f t="shared" si="14"/>
        <v>86910.576758332332</v>
      </c>
      <c r="AY25" s="449">
        <f t="shared" si="15"/>
        <v>34677.320126574603</v>
      </c>
      <c r="AZ25" s="469">
        <f t="shared" si="16"/>
        <v>5952.6873077452037</v>
      </c>
    </row>
    <row r="26" spans="1:52" ht="15" customHeight="1" x14ac:dyDescent="0.3">
      <c r="A26" s="30"/>
      <c r="B26" s="28" t="s">
        <v>47</v>
      </c>
      <c r="C26" s="226">
        <f>+AI20</f>
        <v>14.586532378249998</v>
      </c>
      <c r="D26" s="226">
        <f>+AK20</f>
        <v>9.2748367567500001</v>
      </c>
      <c r="E26" s="226">
        <f>+AM20</f>
        <v>234.26054786500001</v>
      </c>
      <c r="F26" s="126">
        <f>SUM(C26:E26)</f>
        <v>258.121917</v>
      </c>
      <c r="G26" s="222">
        <f>+E26*I26</f>
        <v>3513908.2179749999</v>
      </c>
      <c r="H26" s="136">
        <v>25</v>
      </c>
      <c r="I26" s="135">
        <v>15000</v>
      </c>
      <c r="J26" s="352" t="s">
        <v>57</v>
      </c>
      <c r="K26" s="353"/>
      <c r="L26" s="354"/>
      <c r="M26" s="269">
        <f>+G26/H26</f>
        <v>140556.32871899998</v>
      </c>
      <c r="N26" s="286">
        <v>46000</v>
      </c>
      <c r="O26" s="12"/>
      <c r="P26" s="13"/>
      <c r="Q26" s="12">
        <f t="shared" ref="Q26:Q35" si="18">+M26*Q$12</f>
        <v>56081.975158880996</v>
      </c>
      <c r="R26" s="13">
        <f t="shared" ref="R26:R35" si="19">+N26*R$12</f>
        <v>24333.999999999996</v>
      </c>
      <c r="S26" s="276"/>
      <c r="T26" s="277"/>
      <c r="U26" s="278"/>
      <c r="V26" s="17">
        <f t="shared" ref="V26:V35" si="20">V$12*C26</f>
        <v>3646.6330945624995</v>
      </c>
      <c r="W26" s="3">
        <f t="shared" ref="W26:W35" si="21">W$12*D26</f>
        <v>927.48367567499997</v>
      </c>
      <c r="X26" s="36">
        <f>+V26+W26</f>
        <v>4574.1167702374996</v>
      </c>
      <c r="Y26" s="198">
        <v>0</v>
      </c>
      <c r="Z26" s="197">
        <f>+Q26+R26+V26+W26+Y26</f>
        <v>84990.091929118484</v>
      </c>
      <c r="AA26" s="8"/>
      <c r="AB26" s="160">
        <f>IF(AB25=0,0,Z26*(1+AB25))</f>
        <v>87114.844227346432</v>
      </c>
      <c r="AC26" s="167">
        <f>+'HTF Funding - No Increases'!Z26</f>
        <v>37086.364484295991</v>
      </c>
      <c r="AD26" s="160">
        <f>+AB26-AC26</f>
        <v>50028.47974305044</v>
      </c>
      <c r="AE26" s="31"/>
      <c r="AG26" s="424"/>
      <c r="AH26" s="98"/>
      <c r="AI26" s="99">
        <f>+AI24+AI25</f>
        <v>43.29875109787335</v>
      </c>
      <c r="AJ26" s="100">
        <f>+AI26/AO26</f>
        <v>0.16774534917882758</v>
      </c>
      <c r="AK26" s="99">
        <f>+AK24+AK25</f>
        <v>10.786006163045966</v>
      </c>
      <c r="AL26" s="100">
        <f>+AK26/AO26</f>
        <v>4.1786479383096965E-2</v>
      </c>
      <c r="AM26" s="99">
        <f>+AM24+AM25</f>
        <v>204.03715973908069</v>
      </c>
      <c r="AN26" s="100">
        <f>+AM26/AO26</f>
        <v>0.79046817143807546</v>
      </c>
      <c r="AO26" s="249">
        <f>+AO24+AO25</f>
        <v>258.121917</v>
      </c>
      <c r="AQ26" s="454" t="s">
        <v>30</v>
      </c>
      <c r="AR26" s="222">
        <f t="shared" si="9"/>
        <v>2431181.5225423193</v>
      </c>
      <c r="AS26" s="445">
        <f t="shared" si="10"/>
        <v>25</v>
      </c>
      <c r="AT26" s="453">
        <f t="shared" si="11"/>
        <v>15000</v>
      </c>
      <c r="AU26" s="3">
        <f t="shared" si="12"/>
        <v>97247.260901692774</v>
      </c>
      <c r="AV26" s="36">
        <f t="shared" si="13"/>
        <v>38801.657099775417</v>
      </c>
      <c r="AW26" s="465">
        <f t="shared" si="17"/>
        <v>29.877314215557774</v>
      </c>
      <c r="AX26" s="450">
        <f t="shared" si="14"/>
        <v>81372.157651183705</v>
      </c>
      <c r="AY26" s="449">
        <f t="shared" si="15"/>
        <v>32467.490902822301</v>
      </c>
      <c r="AZ26" s="469">
        <f t="shared" si="16"/>
        <v>6334.166196953116</v>
      </c>
    </row>
    <row r="27" spans="1:52" ht="15" thickBot="1" x14ac:dyDescent="0.35">
      <c r="A27" s="30"/>
      <c r="B27" s="28" t="s">
        <v>48</v>
      </c>
      <c r="C27" s="226">
        <f>+AI22</f>
        <v>24.601170799478748</v>
      </c>
      <c r="D27" s="226">
        <f>+AK22</f>
        <v>9.8019229894462505</v>
      </c>
      <c r="E27" s="226">
        <f>+AM22</f>
        <v>223.71882321107501</v>
      </c>
      <c r="F27" s="126">
        <f t="shared" ref="F27:F35" si="22">SUM(C27:E27)</f>
        <v>258.121917</v>
      </c>
      <c r="G27" s="222">
        <f t="shared" ref="G27:G35" si="23">+E27*I27</f>
        <v>3355782.3481661249</v>
      </c>
      <c r="H27" s="136">
        <v>25</v>
      </c>
      <c r="I27" s="135">
        <v>15000</v>
      </c>
      <c r="J27" s="355"/>
      <c r="K27" s="356"/>
      <c r="L27" s="357"/>
      <c r="M27" s="137">
        <f t="shared" ref="M27:M35" si="24">+G27/H27</f>
        <v>134231.29392664498</v>
      </c>
      <c r="N27" s="270">
        <f>+N26</f>
        <v>46000</v>
      </c>
      <c r="O27" s="12"/>
      <c r="P27" s="13"/>
      <c r="Q27" s="12">
        <f t="shared" si="18"/>
        <v>53558.286276731349</v>
      </c>
      <c r="R27" s="13">
        <f t="shared" si="19"/>
        <v>24333.999999999996</v>
      </c>
      <c r="S27" s="276"/>
      <c r="T27" s="277"/>
      <c r="U27" s="278"/>
      <c r="V27" s="17">
        <f t="shared" si="20"/>
        <v>6150.2926998696867</v>
      </c>
      <c r="W27" s="3">
        <f t="shared" si="21"/>
        <v>980.19229894462501</v>
      </c>
      <c r="X27" s="36">
        <f t="shared" ref="X27:X35" si="25">+V27+W27</f>
        <v>7130.4849988143114</v>
      </c>
      <c r="Y27" s="199">
        <f>+Y26</f>
        <v>0</v>
      </c>
      <c r="Z27" s="57">
        <f t="shared" ref="Z27:Z35" si="26">+Q27+R27+V27+W27+Y27</f>
        <v>85022.771275545674</v>
      </c>
      <c r="AA27" s="4"/>
      <c r="AB27" s="160">
        <f>IF($AB$25=0,0,AB26*(1+$AB$25))</f>
        <v>89292.715333030079</v>
      </c>
      <c r="AC27" s="160">
        <f>+'HTF Funding - No Increases'!Z27</f>
        <v>35922.558082502677</v>
      </c>
      <c r="AD27" s="160">
        <f t="shared" ref="AD27:AD35" si="27">+AB27-AC27</f>
        <v>53370.157250527402</v>
      </c>
      <c r="AE27" s="31"/>
      <c r="AG27" s="423" t="s">
        <v>26</v>
      </c>
      <c r="AH27" s="69">
        <f>+AH25</f>
        <v>4.4999999999999998E-2</v>
      </c>
      <c r="AI27" s="65">
        <f>-AM27*AH$17</f>
        <v>8.7225885788456985</v>
      </c>
      <c r="AJ27" s="62"/>
      <c r="AK27" s="65">
        <f>-AM27*(1-AH$17)</f>
        <v>0.45908360941293197</v>
      </c>
      <c r="AL27" s="62"/>
      <c r="AM27" s="64">
        <f>-(+AM18+AM19+AM21+AM23+AM25)*AH27</f>
        <v>-9.1816721882586307</v>
      </c>
      <c r="AN27" s="64"/>
      <c r="AO27" s="252"/>
      <c r="AQ27" s="452" t="s">
        <v>31</v>
      </c>
      <c r="AR27" s="222">
        <f t="shared" si="9"/>
        <v>2321778.3540279148</v>
      </c>
      <c r="AS27" s="445">
        <f t="shared" si="10"/>
        <v>25</v>
      </c>
      <c r="AT27" s="453">
        <f t="shared" si="11"/>
        <v>15000</v>
      </c>
      <c r="AU27" s="3">
        <f t="shared" si="12"/>
        <v>92871.134161116599</v>
      </c>
      <c r="AV27" s="36">
        <f t="shared" si="13"/>
        <v>37055.582530285523</v>
      </c>
      <c r="AW27" s="464">
        <f t="shared" si="17"/>
        <v>30.474860499868932</v>
      </c>
      <c r="AX27" s="450">
        <f t="shared" si="14"/>
        <v>76186.677016549438</v>
      </c>
      <c r="AY27" s="449">
        <f t="shared" si="15"/>
        <v>30398.484129603228</v>
      </c>
      <c r="AZ27" s="469">
        <f t="shared" si="16"/>
        <v>6657.0984006822946</v>
      </c>
    </row>
    <row r="28" spans="1:52" ht="15" thickBot="1" x14ac:dyDescent="0.35">
      <c r="A28" s="30"/>
      <c r="B28" s="28" t="s">
        <v>49</v>
      </c>
      <c r="C28" s="226">
        <f>+AI24</f>
        <v>34.1651504917522</v>
      </c>
      <c r="D28" s="226">
        <f>+AK24</f>
        <v>10.305290341671169</v>
      </c>
      <c r="E28" s="226">
        <f>+AM24</f>
        <v>213.65147616657663</v>
      </c>
      <c r="F28" s="126">
        <f t="shared" si="22"/>
        <v>258.121917</v>
      </c>
      <c r="G28" s="222">
        <f t="shared" si="23"/>
        <v>3204772.1424986497</v>
      </c>
      <c r="H28" s="136">
        <v>25</v>
      </c>
      <c r="I28" s="135">
        <v>15000</v>
      </c>
      <c r="J28" s="355"/>
      <c r="K28" s="356"/>
      <c r="L28" s="357"/>
      <c r="M28" s="137">
        <f t="shared" si="24"/>
        <v>128190.88569994598</v>
      </c>
      <c r="N28" s="270">
        <f t="shared" ref="N28:N35" si="28">+N27</f>
        <v>46000</v>
      </c>
      <c r="O28" s="12"/>
      <c r="P28" s="13"/>
      <c r="Q28" s="12">
        <f t="shared" si="18"/>
        <v>51148.163394278447</v>
      </c>
      <c r="R28" s="13">
        <f t="shared" si="19"/>
        <v>24333.999999999996</v>
      </c>
      <c r="S28" s="276"/>
      <c r="T28" s="277"/>
      <c r="U28" s="278"/>
      <c r="V28" s="17">
        <f t="shared" si="20"/>
        <v>8541.2876229380508</v>
      </c>
      <c r="W28" s="3">
        <f t="shared" si="21"/>
        <v>1030.5290341671168</v>
      </c>
      <c r="X28" s="36">
        <f t="shared" si="25"/>
        <v>9571.8166571051679</v>
      </c>
      <c r="Y28" s="199">
        <f t="shared" ref="Y28:Y35" si="29">+Y27</f>
        <v>0</v>
      </c>
      <c r="Z28" s="57">
        <f t="shared" si="26"/>
        <v>85053.980051383609</v>
      </c>
      <c r="AA28" s="4"/>
      <c r="AB28" s="160">
        <f t="shared" ref="AB28:AB35" si="30">IF($AB$25=0,0,AB27*(1+$AB$25))</f>
        <v>91525.03321635582</v>
      </c>
      <c r="AC28" s="160">
        <f>+'HTF Funding - No Increases'!Z28</f>
        <v>34811.122968790063</v>
      </c>
      <c r="AD28" s="160">
        <f t="shared" si="27"/>
        <v>56713.910247565756</v>
      </c>
      <c r="AE28" s="31"/>
      <c r="AG28" s="424"/>
      <c r="AH28" s="98"/>
      <c r="AI28" s="99">
        <f>+AI26+AI27</f>
        <v>52.021339676719052</v>
      </c>
      <c r="AJ28" s="100">
        <f>+AI28/AO28</f>
        <v>0.20153786350780531</v>
      </c>
      <c r="AK28" s="99">
        <f>+AK26+AK27</f>
        <v>11.245089772458899</v>
      </c>
      <c r="AL28" s="100">
        <f>+AK28/AO28</f>
        <v>4.356503276883264E-2</v>
      </c>
      <c r="AM28" s="99">
        <f>+AM26+AM27</f>
        <v>194.85548755082206</v>
      </c>
      <c r="AN28" s="100">
        <f>+AM28/AO28</f>
        <v>0.75489710372336216</v>
      </c>
      <c r="AO28" s="249">
        <f>+AO26+AO27</f>
        <v>258.121917</v>
      </c>
      <c r="AQ28" s="472" t="s">
        <v>2</v>
      </c>
      <c r="AR28" s="479">
        <f>SUM(AR18:AR27)</f>
        <v>28813553.108407594</v>
      </c>
      <c r="AS28" s="470"/>
      <c r="AT28" s="470"/>
      <c r="AU28" s="480">
        <f>SUM(AU18:AU27)</f>
        <v>1152542.1243363034</v>
      </c>
      <c r="AV28" s="471">
        <f>SUM(AV18:AV27)</f>
        <v>459864.30761018518</v>
      </c>
      <c r="AW28" s="262"/>
      <c r="AX28" s="480">
        <f>SUM(AX18:AX27)</f>
        <v>1043046.9564337734</v>
      </c>
      <c r="AY28" s="480">
        <f t="shared" ref="AY28:AZ28" si="31">SUM(AY18:AY27)</f>
        <v>416175.73561707564</v>
      </c>
      <c r="AZ28" s="482">
        <f t="shared" si="31"/>
        <v>43688.571993109523</v>
      </c>
    </row>
    <row r="29" spans="1:52" ht="15.6" thickTop="1" thickBot="1" x14ac:dyDescent="0.35">
      <c r="A29" s="30"/>
      <c r="B29" s="28" t="s">
        <v>50</v>
      </c>
      <c r="C29" s="226">
        <f>+AI26</f>
        <v>43.29875109787335</v>
      </c>
      <c r="D29" s="226">
        <f>+AK26</f>
        <v>10.786006163045966</v>
      </c>
      <c r="E29" s="226">
        <f>+AM26</f>
        <v>204.03715973908069</v>
      </c>
      <c r="F29" s="126">
        <f t="shared" si="22"/>
        <v>258.121917</v>
      </c>
      <c r="G29" s="222">
        <f t="shared" si="23"/>
        <v>3060557.3960862104</v>
      </c>
      <c r="H29" s="136">
        <v>25</v>
      </c>
      <c r="I29" s="135">
        <v>15000</v>
      </c>
      <c r="J29" s="355"/>
      <c r="K29" s="356"/>
      <c r="L29" s="357"/>
      <c r="M29" s="137">
        <f t="shared" si="24"/>
        <v>122422.29584344842</v>
      </c>
      <c r="N29" s="270">
        <f t="shared" si="28"/>
        <v>46000</v>
      </c>
      <c r="O29" s="12"/>
      <c r="P29" s="13"/>
      <c r="Q29" s="12">
        <f t="shared" si="18"/>
        <v>48846.496041535924</v>
      </c>
      <c r="R29" s="13">
        <f t="shared" si="19"/>
        <v>24333.999999999996</v>
      </c>
      <c r="S29" s="276"/>
      <c r="T29" s="277"/>
      <c r="U29" s="278"/>
      <c r="V29" s="17">
        <f t="shared" si="20"/>
        <v>10824.687774468337</v>
      </c>
      <c r="W29" s="3">
        <f t="shared" si="21"/>
        <v>1078.6006163045965</v>
      </c>
      <c r="X29" s="36">
        <f t="shared" si="25"/>
        <v>11903.288390772934</v>
      </c>
      <c r="Y29" s="199">
        <f t="shared" si="29"/>
        <v>0</v>
      </c>
      <c r="Z29" s="57">
        <f t="shared" si="26"/>
        <v>85083.78443230885</v>
      </c>
      <c r="AA29" s="4"/>
      <c r="AB29" s="160">
        <f t="shared" si="30"/>
        <v>93813.159046764704</v>
      </c>
      <c r="AC29" s="160">
        <f>+'HTF Funding - No Increases'!Z29</f>
        <v>33749.702435194507</v>
      </c>
      <c r="AD29" s="160">
        <f t="shared" si="27"/>
        <v>60063.456611570196</v>
      </c>
      <c r="AE29" s="31"/>
      <c r="AG29" s="423" t="s">
        <v>27</v>
      </c>
      <c r="AH29" s="69">
        <f>+AH27</f>
        <v>4.4999999999999998E-2</v>
      </c>
      <c r="AI29" s="65">
        <f>-AM29*AH$17</f>
        <v>8.3300720927976428</v>
      </c>
      <c r="AJ29" s="62"/>
      <c r="AK29" s="65">
        <f>-AM29*(1-AH$17)</f>
        <v>0.43842484698934997</v>
      </c>
      <c r="AL29" s="62"/>
      <c r="AM29" s="64">
        <f>-(+AM18+AM19+AM21+AM23+AM25+AM27)*AH29</f>
        <v>-8.7684969397869921</v>
      </c>
      <c r="AN29" s="64"/>
      <c r="AO29" s="252"/>
      <c r="AQ29" s="488" t="s">
        <v>104</v>
      </c>
      <c r="AR29" s="489"/>
      <c r="AS29" s="489"/>
      <c r="AT29" s="489"/>
      <c r="AU29" s="489"/>
      <c r="AV29" s="489"/>
      <c r="AW29" s="489"/>
      <c r="AX29" s="489"/>
      <c r="AY29" s="489"/>
      <c r="AZ29" s="490"/>
    </row>
    <row r="30" spans="1:52" ht="15" thickTop="1" x14ac:dyDescent="0.3">
      <c r="A30" s="30"/>
      <c r="B30" s="28" t="s">
        <v>51</v>
      </c>
      <c r="C30" s="226">
        <f>+AI28</f>
        <v>52.021339676719052</v>
      </c>
      <c r="D30" s="226">
        <f>+AK28</f>
        <v>11.245089772458899</v>
      </c>
      <c r="E30" s="226">
        <f>+AM28</f>
        <v>194.85548755082206</v>
      </c>
      <c r="F30" s="126">
        <f t="shared" si="22"/>
        <v>258.121917</v>
      </c>
      <c r="G30" s="222">
        <f t="shared" si="23"/>
        <v>2922832.3132623308</v>
      </c>
      <c r="H30" s="136">
        <v>25</v>
      </c>
      <c r="I30" s="135">
        <v>15000</v>
      </c>
      <c r="J30" s="355"/>
      <c r="K30" s="356"/>
      <c r="L30" s="357"/>
      <c r="M30" s="137">
        <f t="shared" si="24"/>
        <v>116913.29253049323</v>
      </c>
      <c r="N30" s="270">
        <f t="shared" si="28"/>
        <v>46000</v>
      </c>
      <c r="O30" s="12"/>
      <c r="P30" s="13"/>
      <c r="Q30" s="12">
        <f t="shared" si="18"/>
        <v>46648.4037196668</v>
      </c>
      <c r="R30" s="13">
        <f t="shared" si="19"/>
        <v>24333.999999999996</v>
      </c>
      <c r="S30" s="276"/>
      <c r="T30" s="277"/>
      <c r="U30" s="278"/>
      <c r="V30" s="17">
        <f t="shared" si="20"/>
        <v>13005.334919179762</v>
      </c>
      <c r="W30" s="3">
        <f t="shared" si="21"/>
        <v>1124.5089772458898</v>
      </c>
      <c r="X30" s="36">
        <f t="shared" si="25"/>
        <v>14129.843896425653</v>
      </c>
      <c r="Y30" s="199">
        <f t="shared" si="29"/>
        <v>0</v>
      </c>
      <c r="Z30" s="57">
        <f t="shared" si="26"/>
        <v>85112.247616092442</v>
      </c>
      <c r="AA30" s="4"/>
      <c r="AB30" s="160">
        <f t="shared" si="30"/>
        <v>96158.488022933816</v>
      </c>
      <c r="AC30" s="160">
        <f>+'HTF Funding - No Increases'!Z30</f>
        <v>32736.045825610752</v>
      </c>
      <c r="AD30" s="160">
        <f t="shared" si="27"/>
        <v>63422.442197323064</v>
      </c>
      <c r="AE30" s="31"/>
      <c r="AG30" s="424"/>
      <c r="AH30" s="98"/>
      <c r="AI30" s="99">
        <f>+AI28+AI29</f>
        <v>60.351411769516695</v>
      </c>
      <c r="AJ30" s="100">
        <f>+AI30/AO30</f>
        <v>0.23380971469197903</v>
      </c>
      <c r="AK30" s="99">
        <f>+AK28+AK29</f>
        <v>11.683514619448248</v>
      </c>
      <c r="AL30" s="100">
        <f>+AK30/AO30</f>
        <v>4.5263551252210203E-2</v>
      </c>
      <c r="AM30" s="99">
        <f>+AM28+AM29</f>
        <v>186.08699061103508</v>
      </c>
      <c r="AN30" s="100">
        <f>+AM30/AO30</f>
        <v>0.72092673405581087</v>
      </c>
      <c r="AO30" s="249">
        <f>+AO28+AO29</f>
        <v>258.121917</v>
      </c>
      <c r="AR30" s="453"/>
      <c r="AS30" s="453"/>
      <c r="AT30" s="453"/>
    </row>
    <row r="31" spans="1:52" ht="15" thickBot="1" x14ac:dyDescent="0.35">
      <c r="A31" s="30"/>
      <c r="B31" s="28" t="s">
        <v>52</v>
      </c>
      <c r="C31" s="226">
        <f>+AI30</f>
        <v>60.351411769516695</v>
      </c>
      <c r="D31" s="226">
        <f>+AK30</f>
        <v>11.683514619448248</v>
      </c>
      <c r="E31" s="226">
        <f>+AM30</f>
        <v>186.08699061103508</v>
      </c>
      <c r="F31" s="126">
        <f t="shared" si="22"/>
        <v>258.12191700000005</v>
      </c>
      <c r="G31" s="222">
        <f t="shared" si="23"/>
        <v>2791304.859165526</v>
      </c>
      <c r="H31" s="136">
        <v>25</v>
      </c>
      <c r="I31" s="135">
        <v>15000</v>
      </c>
      <c r="J31" s="355"/>
      <c r="K31" s="356"/>
      <c r="L31" s="357"/>
      <c r="M31" s="137">
        <f t="shared" si="24"/>
        <v>111652.19436662104</v>
      </c>
      <c r="N31" s="270">
        <f t="shared" si="28"/>
        <v>46000</v>
      </c>
      <c r="O31" s="12"/>
      <c r="P31" s="13"/>
      <c r="Q31" s="12">
        <f t="shared" si="18"/>
        <v>44549.225552281801</v>
      </c>
      <c r="R31" s="13">
        <f t="shared" si="19"/>
        <v>24333.999999999996</v>
      </c>
      <c r="S31" s="276"/>
      <c r="T31" s="277"/>
      <c r="U31" s="278"/>
      <c r="V31" s="17">
        <f t="shared" si="20"/>
        <v>15087.852942379173</v>
      </c>
      <c r="W31" s="3">
        <f t="shared" si="21"/>
        <v>1168.3514619448249</v>
      </c>
      <c r="X31" s="36">
        <f t="shared" si="25"/>
        <v>16256.204404323998</v>
      </c>
      <c r="Y31" s="199">
        <f t="shared" si="29"/>
        <v>0</v>
      </c>
      <c r="Z31" s="57">
        <f t="shared" si="26"/>
        <v>85139.429956605803</v>
      </c>
      <c r="AA31" s="4"/>
      <c r="AB31" s="160">
        <f t="shared" si="30"/>
        <v>98562.450223507156</v>
      </c>
      <c r="AC31" s="160">
        <f>+'HTF Funding - No Increases'!Z31</f>
        <v>31768.003763458273</v>
      </c>
      <c r="AD31" s="160">
        <f t="shared" si="27"/>
        <v>66794.446460048886</v>
      </c>
      <c r="AE31" s="31"/>
      <c r="AG31" s="423" t="s">
        <v>28</v>
      </c>
      <c r="AH31" s="69">
        <f>+AH29</f>
        <v>4.4999999999999998E-2</v>
      </c>
      <c r="AI31" s="65">
        <f>-AM31*AH$17</f>
        <v>7.9552188486217483</v>
      </c>
      <c r="AJ31" s="62"/>
      <c r="AK31" s="65">
        <f>-AM31*(1-AH$17)</f>
        <v>0.41869572887482925</v>
      </c>
      <c r="AL31" s="62"/>
      <c r="AM31" s="64">
        <f>-(+AM18+AM19+AM21+AM23+AM25+AM27+AM29)*AH31</f>
        <v>-8.3739145774965777</v>
      </c>
      <c r="AN31" s="64"/>
      <c r="AO31" s="252"/>
      <c r="AR31" s="453"/>
      <c r="AS31" s="453"/>
      <c r="AT31" s="453"/>
    </row>
    <row r="32" spans="1:52" ht="15.6" thickTop="1" thickBot="1" x14ac:dyDescent="0.35">
      <c r="A32" s="30"/>
      <c r="B32" s="28" t="s">
        <v>53</v>
      </c>
      <c r="C32" s="226">
        <f>+AI32</f>
        <v>68.306630618138442</v>
      </c>
      <c r="D32" s="226">
        <f>+AK32</f>
        <v>12.102210348323077</v>
      </c>
      <c r="E32" s="226">
        <f>+AM32</f>
        <v>177.7130760335385</v>
      </c>
      <c r="F32" s="126">
        <f t="shared" si="22"/>
        <v>258.12191700000005</v>
      </c>
      <c r="G32" s="222">
        <f t="shared" si="23"/>
        <v>2665696.1405030773</v>
      </c>
      <c r="H32" s="136">
        <v>25</v>
      </c>
      <c r="I32" s="135">
        <v>15000</v>
      </c>
      <c r="J32" s="355"/>
      <c r="K32" s="356"/>
      <c r="L32" s="357"/>
      <c r="M32" s="137">
        <f t="shared" si="24"/>
        <v>106627.84562012309</v>
      </c>
      <c r="N32" s="270">
        <f t="shared" si="28"/>
        <v>46000</v>
      </c>
      <c r="O32" s="12"/>
      <c r="P32" s="13"/>
      <c r="Q32" s="12">
        <f t="shared" si="18"/>
        <v>42544.510402429114</v>
      </c>
      <c r="R32" s="13">
        <f t="shared" si="19"/>
        <v>24333.999999999996</v>
      </c>
      <c r="S32" s="276"/>
      <c r="T32" s="277"/>
      <c r="U32" s="278"/>
      <c r="V32" s="17">
        <f t="shared" si="20"/>
        <v>17076.657654534611</v>
      </c>
      <c r="W32" s="3">
        <f t="shared" si="21"/>
        <v>1210.2210348323076</v>
      </c>
      <c r="X32" s="36">
        <f t="shared" si="25"/>
        <v>18286.878689366917</v>
      </c>
      <c r="Y32" s="199">
        <f t="shared" si="29"/>
        <v>0</v>
      </c>
      <c r="Z32" s="57">
        <f t="shared" si="26"/>
        <v>85165.389091796023</v>
      </c>
      <c r="AA32" s="4"/>
      <c r="AB32" s="160">
        <f t="shared" si="30"/>
        <v>101026.51147909483</v>
      </c>
      <c r="AC32" s="160">
        <f>+'HTF Funding - No Increases'!Z32</f>
        <v>30843.523594102648</v>
      </c>
      <c r="AD32" s="160">
        <f t="shared" si="27"/>
        <v>70182.987884992181</v>
      </c>
      <c r="AE32" s="31"/>
      <c r="AG32" s="424"/>
      <c r="AH32" s="98"/>
      <c r="AI32" s="99">
        <f>+AI30+AI31</f>
        <v>68.306630618138442</v>
      </c>
      <c r="AJ32" s="100">
        <f>+AI32/AO32</f>
        <v>0.26462933257286497</v>
      </c>
      <c r="AK32" s="99">
        <f>+AK30+AK31</f>
        <v>12.102210348323077</v>
      </c>
      <c r="AL32" s="100">
        <f>+AK32/AO32</f>
        <v>4.6885636403835779E-2</v>
      </c>
      <c r="AM32" s="99">
        <f>+AM30+AM31</f>
        <v>177.7130760335385</v>
      </c>
      <c r="AN32" s="100">
        <f>+AM32/AO32</f>
        <v>0.68848503102329939</v>
      </c>
      <c r="AO32" s="249">
        <f>+AO30+AO31</f>
        <v>258.121917</v>
      </c>
      <c r="AQ32" s="433" t="s">
        <v>93</v>
      </c>
      <c r="AR32" s="434"/>
      <c r="AS32" s="434"/>
      <c r="AT32" s="434"/>
      <c r="AU32" s="434"/>
      <c r="AV32" s="434"/>
      <c r="AW32" s="434"/>
      <c r="AX32" s="434"/>
      <c r="AY32" s="434"/>
      <c r="AZ32" s="435"/>
    </row>
    <row r="33" spans="1:52" ht="15" customHeight="1" thickBot="1" x14ac:dyDescent="0.35">
      <c r="A33" s="30"/>
      <c r="B33" s="28" t="s">
        <v>54</v>
      </c>
      <c r="C33" s="226">
        <f>+AI34</f>
        <v>75.903864618572214</v>
      </c>
      <c r="D33" s="226">
        <f>+AK34</f>
        <v>12.502064769398539</v>
      </c>
      <c r="E33" s="226">
        <f>+AM34</f>
        <v>169.71598761202927</v>
      </c>
      <c r="F33" s="126">
        <f t="shared" si="22"/>
        <v>258.12191700000005</v>
      </c>
      <c r="G33" s="222">
        <f t="shared" si="23"/>
        <v>2545739.8141804389</v>
      </c>
      <c r="H33" s="136">
        <v>25</v>
      </c>
      <c r="I33" s="135">
        <v>15000</v>
      </c>
      <c r="J33" s="355"/>
      <c r="K33" s="356"/>
      <c r="L33" s="357"/>
      <c r="M33" s="137">
        <f t="shared" si="24"/>
        <v>101829.59256721755</v>
      </c>
      <c r="N33" s="270">
        <f t="shared" si="28"/>
        <v>46000</v>
      </c>
      <c r="O33" s="12"/>
      <c r="P33" s="13"/>
      <c r="Q33" s="12">
        <f t="shared" si="18"/>
        <v>40630.007434319807</v>
      </c>
      <c r="R33" s="13">
        <f t="shared" si="19"/>
        <v>24333.999999999996</v>
      </c>
      <c r="S33" s="276"/>
      <c r="T33" s="277"/>
      <c r="U33" s="278"/>
      <c r="V33" s="17">
        <f t="shared" si="20"/>
        <v>18975.966154643054</v>
      </c>
      <c r="W33" s="3">
        <f t="shared" si="21"/>
        <v>1250.2064769398539</v>
      </c>
      <c r="X33" s="36">
        <f t="shared" si="25"/>
        <v>20226.172631582907</v>
      </c>
      <c r="Y33" s="199">
        <f t="shared" si="29"/>
        <v>0</v>
      </c>
      <c r="Z33" s="57">
        <f t="shared" si="26"/>
        <v>85190.180065902721</v>
      </c>
      <c r="AA33" s="4"/>
      <c r="AB33" s="160">
        <f t="shared" si="30"/>
        <v>103552.17426607219</v>
      </c>
      <c r="AC33" s="160">
        <f>+'HTF Funding - No Increases'!Z33</f>
        <v>29960.645032368029</v>
      </c>
      <c r="AD33" s="160">
        <f t="shared" si="27"/>
        <v>73591.529233704161</v>
      </c>
      <c r="AE33" s="31"/>
      <c r="AG33" s="423" t="s">
        <v>29</v>
      </c>
      <c r="AH33" s="69">
        <f>+AH31</f>
        <v>4.4999999999999998E-2</v>
      </c>
      <c r="AI33" s="65">
        <f>-AM33*AH$17</f>
        <v>7.5972340004337706</v>
      </c>
      <c r="AJ33" s="62"/>
      <c r="AK33" s="65">
        <f>-AM33*(1-AH$17)</f>
        <v>0.39985442107546199</v>
      </c>
      <c r="AL33" s="62"/>
      <c r="AM33" s="64">
        <f>-(+AM18+AM19+AM21+AM23+AM25+AM27+AM29+AM31)*AH33</f>
        <v>-7.9970884215092326</v>
      </c>
      <c r="AN33" s="64"/>
      <c r="AO33" s="252"/>
      <c r="AQ33" s="476"/>
      <c r="AR33" s="460" t="s">
        <v>94</v>
      </c>
      <c r="AS33" s="461"/>
      <c r="AT33" s="461"/>
      <c r="AU33" s="461"/>
      <c r="AV33" s="462"/>
      <c r="AW33" s="460" t="s">
        <v>98</v>
      </c>
      <c r="AX33" s="461"/>
      <c r="AY33" s="462"/>
      <c r="AZ33" s="466" t="s">
        <v>97</v>
      </c>
    </row>
    <row r="34" spans="1:52" ht="15" thickBot="1" x14ac:dyDescent="0.35">
      <c r="A34" s="30"/>
      <c r="B34" s="28" t="s">
        <v>55</v>
      </c>
      <c r="C34" s="226">
        <f>+AI36</f>
        <v>83.159223088986465</v>
      </c>
      <c r="D34" s="226">
        <f>+AK36</f>
        <v>12.883925741525605</v>
      </c>
      <c r="E34" s="226">
        <f>+AM36</f>
        <v>162.07876816948794</v>
      </c>
      <c r="F34" s="126">
        <f t="shared" si="22"/>
        <v>258.121917</v>
      </c>
      <c r="G34" s="222">
        <f t="shared" si="23"/>
        <v>2431181.5225423193</v>
      </c>
      <c r="H34" s="136">
        <v>25</v>
      </c>
      <c r="I34" s="135">
        <v>15000</v>
      </c>
      <c r="J34" s="355"/>
      <c r="K34" s="356"/>
      <c r="L34" s="357"/>
      <c r="M34" s="137">
        <f t="shared" si="24"/>
        <v>97247.260901692774</v>
      </c>
      <c r="N34" s="271">
        <f t="shared" si="28"/>
        <v>46000</v>
      </c>
      <c r="P34" s="284"/>
      <c r="Q34" s="12">
        <f t="shared" si="18"/>
        <v>38801.657099775417</v>
      </c>
      <c r="R34" s="13">
        <f t="shared" si="19"/>
        <v>24333.999999999996</v>
      </c>
      <c r="S34" s="279"/>
      <c r="T34" s="280"/>
      <c r="U34" s="278"/>
      <c r="V34" s="17">
        <f t="shared" si="20"/>
        <v>20789.805772246615</v>
      </c>
      <c r="W34" s="3">
        <f t="shared" si="21"/>
        <v>1288.3925741525604</v>
      </c>
      <c r="X34" s="36">
        <f t="shared" si="25"/>
        <v>22078.198346399175</v>
      </c>
      <c r="Y34" s="199">
        <f t="shared" si="29"/>
        <v>0</v>
      </c>
      <c r="Z34" s="57">
        <f t="shared" si="26"/>
        <v>85213.855446174595</v>
      </c>
      <c r="AB34" s="160">
        <f t="shared" si="30"/>
        <v>106140.978622724</v>
      </c>
      <c r="AC34" s="160">
        <f>+'HTF Funding - No Increases'!Z34</f>
        <v>29117.496005911471</v>
      </c>
      <c r="AD34" s="160">
        <f t="shared" si="27"/>
        <v>77023.482616812529</v>
      </c>
      <c r="AE34" s="31"/>
      <c r="AG34" s="424"/>
      <c r="AH34" s="98"/>
      <c r="AI34" s="99">
        <f>+AI32+AI33</f>
        <v>75.903864618572214</v>
      </c>
      <c r="AJ34" s="100">
        <f>+AI34/AO34</f>
        <v>0.29406206764911103</v>
      </c>
      <c r="AK34" s="99">
        <f>+AK32+AK33</f>
        <v>12.502064769398539</v>
      </c>
      <c r="AL34" s="100">
        <f>+AK34/AO34</f>
        <v>4.8434727723638202E-2</v>
      </c>
      <c r="AM34" s="99">
        <f>+AM32+AM33</f>
        <v>169.71598761202927</v>
      </c>
      <c r="AN34" s="100">
        <f>+AM34/AO34</f>
        <v>0.65750320462725087</v>
      </c>
      <c r="AO34" s="249">
        <f>+AO32+AO33</f>
        <v>258.121917</v>
      </c>
      <c r="AQ34" s="477"/>
      <c r="AR34" s="446" t="s">
        <v>100</v>
      </c>
      <c r="AS34" s="447"/>
      <c r="AT34" s="447"/>
      <c r="AU34" s="447"/>
      <c r="AV34" s="448"/>
      <c r="AW34" s="451" t="s">
        <v>44</v>
      </c>
      <c r="AX34" s="455" t="s">
        <v>78</v>
      </c>
      <c r="AY34" s="455" t="s">
        <v>95</v>
      </c>
      <c r="AZ34" s="467"/>
    </row>
    <row r="35" spans="1:52" ht="15" customHeight="1" thickBot="1" x14ac:dyDescent="0.35">
      <c r="A35" s="30"/>
      <c r="B35" s="29" t="s">
        <v>56</v>
      </c>
      <c r="C35" s="227">
        <f>+AI38</f>
        <v>90.088090428232078</v>
      </c>
      <c r="D35" s="227">
        <f>+AK38</f>
        <v>13.248602969906953</v>
      </c>
      <c r="E35" s="227">
        <f>+AM38</f>
        <v>154.78522360186099</v>
      </c>
      <c r="F35" s="127">
        <f t="shared" si="22"/>
        <v>258.12191700000005</v>
      </c>
      <c r="G35" s="223">
        <f t="shared" si="23"/>
        <v>2321778.3540279148</v>
      </c>
      <c r="H35" s="152">
        <v>25</v>
      </c>
      <c r="I35" s="143">
        <v>15000</v>
      </c>
      <c r="J35" s="358"/>
      <c r="K35" s="359"/>
      <c r="L35" s="360"/>
      <c r="M35" s="153">
        <f t="shared" si="24"/>
        <v>92871.134161116599</v>
      </c>
      <c r="N35" s="272">
        <f t="shared" si="28"/>
        <v>46000</v>
      </c>
      <c r="O35" s="24"/>
      <c r="P35" s="285"/>
      <c r="Q35" s="14">
        <f t="shared" si="18"/>
        <v>37055.582530285523</v>
      </c>
      <c r="R35" s="15">
        <f t="shared" si="19"/>
        <v>24333.999999999996</v>
      </c>
      <c r="S35" s="281"/>
      <c r="T35" s="282"/>
      <c r="U35" s="283"/>
      <c r="V35" s="18">
        <f t="shared" si="20"/>
        <v>22522.022607058021</v>
      </c>
      <c r="W35" s="21">
        <f t="shared" si="21"/>
        <v>1324.8602969906954</v>
      </c>
      <c r="X35" s="37">
        <f t="shared" si="25"/>
        <v>23846.882904048718</v>
      </c>
      <c r="Y35" s="200">
        <f t="shared" si="29"/>
        <v>0</v>
      </c>
      <c r="Z35" s="57">
        <f t="shared" si="26"/>
        <v>85236.465434334241</v>
      </c>
      <c r="AA35" s="24"/>
      <c r="AB35" s="160">
        <f t="shared" si="30"/>
        <v>108794.50308829208</v>
      </c>
      <c r="AC35" s="190">
        <f>+'HTF Funding - No Increases'!Z35</f>
        <v>28312.288685645453</v>
      </c>
      <c r="AD35" s="190">
        <f t="shared" si="27"/>
        <v>80482.214402646627</v>
      </c>
      <c r="AE35" s="31"/>
      <c r="AG35" s="423" t="s">
        <v>30</v>
      </c>
      <c r="AH35" s="69">
        <f>+AH33</f>
        <v>4.4999999999999998E-2</v>
      </c>
      <c r="AI35" s="65">
        <f>-AM35*AH$17</f>
        <v>7.25535847041425</v>
      </c>
      <c r="AJ35" s="62"/>
      <c r="AK35" s="65">
        <f>-AM35*(1-AH$17)</f>
        <v>0.38186097212706616</v>
      </c>
      <c r="AL35" s="62"/>
      <c r="AM35" s="64">
        <f>-(+AM18+AM19+AM21+AM23+AM25+AM27+AM29+AM31+AM33)*AH35</f>
        <v>-7.6372194425413165</v>
      </c>
      <c r="AN35" s="64"/>
      <c r="AO35" s="252"/>
      <c r="AQ35" s="478"/>
      <c r="AR35" s="456" t="s">
        <v>99</v>
      </c>
      <c r="AS35" s="350" t="s">
        <v>44</v>
      </c>
      <c r="AT35" s="350" t="s">
        <v>45</v>
      </c>
      <c r="AU35" s="458" t="s">
        <v>7</v>
      </c>
      <c r="AV35" s="374" t="s">
        <v>69</v>
      </c>
      <c r="AW35" s="290" t="s">
        <v>102</v>
      </c>
      <c r="AX35" s="458" t="s">
        <v>7</v>
      </c>
      <c r="AY35" s="374" t="s">
        <v>69</v>
      </c>
      <c r="AZ35" s="467"/>
    </row>
    <row r="36" spans="1:52" ht="15" thickBot="1" x14ac:dyDescent="0.35">
      <c r="A36" s="30"/>
      <c r="B36" s="165"/>
      <c r="C36" s="23"/>
      <c r="D36" s="23"/>
      <c r="E36" s="23"/>
      <c r="F36" s="23"/>
      <c r="G36" s="23"/>
      <c r="H36" s="23"/>
      <c r="I36" s="23"/>
      <c r="J36" s="23"/>
      <c r="K36" s="23"/>
      <c r="L36" s="23"/>
      <c r="M36" s="9"/>
      <c r="N36" s="23"/>
      <c r="V36" s="92">
        <f>SUM(V26:V35)</f>
        <v>136620.54124187981</v>
      </c>
      <c r="W36" s="92">
        <f>SUM(W26:W35)</f>
        <v>11383.346447197471</v>
      </c>
      <c r="X36" s="92">
        <f>SUM(X26:X35)</f>
        <v>148003.8876890773</v>
      </c>
      <c r="Y36" s="201">
        <f>SUM(Y26:Y35)</f>
        <v>0</v>
      </c>
      <c r="Z36" s="92">
        <f>SUM(Z26:Z35)</f>
        <v>851208.19529926253</v>
      </c>
      <c r="AA36" s="5"/>
      <c r="AB36" s="173">
        <f>SUM(AB26:AB35)</f>
        <v>975980.8575261212</v>
      </c>
      <c r="AC36" s="173">
        <f>SUM(AC26:AC35)</f>
        <v>324307.75087787991</v>
      </c>
      <c r="AD36" s="189">
        <f>SUM(AD26:AD35)</f>
        <v>651673.10664824129</v>
      </c>
      <c r="AE36" s="31"/>
      <c r="AG36" s="424"/>
      <c r="AH36" s="98"/>
      <c r="AI36" s="99">
        <f>+AI34+AI35</f>
        <v>83.159223088986465</v>
      </c>
      <c r="AJ36" s="100">
        <f>+AI36/AO36</f>
        <v>0.32217032964692599</v>
      </c>
      <c r="AK36" s="99">
        <f>+AK34+AK35</f>
        <v>12.883925741525605</v>
      </c>
      <c r="AL36" s="100">
        <f>+AK36/AO36</f>
        <v>4.9914109934049516E-2</v>
      </c>
      <c r="AM36" s="99">
        <f>+AM34+AM35</f>
        <v>162.07876816948794</v>
      </c>
      <c r="AN36" s="100">
        <f>+AM36/AO36</f>
        <v>0.62791556041902452</v>
      </c>
      <c r="AO36" s="249">
        <f>+AO34+AO35</f>
        <v>258.121917</v>
      </c>
      <c r="AQ36" s="473">
        <v>2024</v>
      </c>
      <c r="AR36" s="457"/>
      <c r="AS36" s="351"/>
      <c r="AT36" s="351"/>
      <c r="AU36" s="459"/>
      <c r="AV36" s="375"/>
      <c r="AW36" s="481">
        <v>0.02</v>
      </c>
      <c r="AX36" s="459"/>
      <c r="AY36" s="375"/>
      <c r="AZ36" s="468"/>
    </row>
    <row r="37" spans="1:52" ht="15.6" thickTop="1" thickBot="1" x14ac:dyDescent="0.35">
      <c r="A37" s="30"/>
      <c r="M37" s="9"/>
      <c r="N37" s="1"/>
      <c r="O37" s="10"/>
      <c r="P37" s="10"/>
      <c r="Z37" s="174"/>
      <c r="AA37" s="188"/>
      <c r="AB37" s="175"/>
      <c r="AC37" s="175"/>
      <c r="AD37" s="175"/>
      <c r="AE37" s="31"/>
      <c r="AG37" s="423" t="s">
        <v>31</v>
      </c>
      <c r="AH37" s="73">
        <f>+AH35</f>
        <v>4.4999999999999998E-2</v>
      </c>
      <c r="AI37" s="65">
        <f>-AM37*AH$17</f>
        <v>6.9288673392456088</v>
      </c>
      <c r="AJ37" s="65"/>
      <c r="AK37" s="65">
        <f>-AM37*(1-AH$17)</f>
        <v>0.36467722838134814</v>
      </c>
      <c r="AL37" s="65"/>
      <c r="AM37" s="66">
        <f>-(+AM18+AM19+AM21+AM23+AM25+AM27+AM29+AM31+AM33+AM35)*AH37</f>
        <v>-7.2935445676269568</v>
      </c>
      <c r="AN37" s="66"/>
      <c r="AO37" s="254"/>
      <c r="AQ37" s="474" t="s">
        <v>101</v>
      </c>
      <c r="AR37" s="484">
        <f>+AU37*AS37</f>
        <v>299000</v>
      </c>
      <c r="AS37" s="483">
        <v>6.5</v>
      </c>
      <c r="AT37" s="453"/>
      <c r="AU37" s="463">
        <f>+N26</f>
        <v>46000</v>
      </c>
      <c r="AV37" s="114">
        <f>+AU37*R$12</f>
        <v>24333.999999999996</v>
      </c>
      <c r="AW37" s="465">
        <f>+AS37+(AS37*$AW$17)</f>
        <v>6.63</v>
      </c>
      <c r="AX37" s="450">
        <f>+AR37/AW37</f>
        <v>45098.039215686273</v>
      </c>
      <c r="AY37" s="449">
        <f>+AX37*Q$12</f>
        <v>17994.117647058825</v>
      </c>
      <c r="AZ37" s="469">
        <f>+AV37-AY37</f>
        <v>6339.8823529411711</v>
      </c>
    </row>
    <row r="38" spans="1:52" ht="15" thickBot="1" x14ac:dyDescent="0.35">
      <c r="A38" s="30"/>
      <c r="B38" s="52" t="s">
        <v>84</v>
      </c>
      <c r="C38" s="25"/>
      <c r="D38" s="53"/>
      <c r="E38" s="56"/>
      <c r="F38" s="53"/>
      <c r="G38" s="56"/>
      <c r="H38" s="53"/>
      <c r="I38" s="60"/>
      <c r="Y38" s="52" t="s">
        <v>75</v>
      </c>
      <c r="Z38" s="53"/>
      <c r="AA38" s="53"/>
      <c r="AB38" s="53"/>
      <c r="AC38" s="53"/>
      <c r="AD38" s="54"/>
      <c r="AE38" s="31"/>
      <c r="AG38" s="424"/>
      <c r="AH38" s="98"/>
      <c r="AI38" s="99">
        <f>+AI36+AI37</f>
        <v>90.088090428232078</v>
      </c>
      <c r="AJ38" s="101">
        <f>+AI38/AO38</f>
        <v>0.34901371985483931</v>
      </c>
      <c r="AK38" s="99">
        <f>+AK36+AK37</f>
        <v>13.248602969906953</v>
      </c>
      <c r="AL38" s="101">
        <f>+AK38/AO38</f>
        <v>5.1326919944992326E-2</v>
      </c>
      <c r="AM38" s="99">
        <f>+AM36+AM37</f>
        <v>154.78522360186099</v>
      </c>
      <c r="AN38" s="101">
        <f>+AM38/AO38</f>
        <v>0.59965936020016852</v>
      </c>
      <c r="AO38" s="249">
        <f>+AO36+AO37</f>
        <v>258.121917</v>
      </c>
      <c r="AQ38" s="475" t="s">
        <v>23</v>
      </c>
      <c r="AR38" s="484">
        <f>+AR37</f>
        <v>299000</v>
      </c>
      <c r="AS38" s="483">
        <f>+AS37</f>
        <v>6.5</v>
      </c>
      <c r="AT38" s="453"/>
      <c r="AU38" s="3">
        <f>+AU37</f>
        <v>46000</v>
      </c>
      <c r="AV38" s="114">
        <f t="shared" ref="AV38:AV46" si="32">+AU38*R$12</f>
        <v>24333.999999999996</v>
      </c>
      <c r="AW38" s="465">
        <f>+AW37+(AW37*AW$17)</f>
        <v>6.7625999999999999</v>
      </c>
      <c r="AX38" s="450">
        <f t="shared" ref="AX38:AX46" si="33">+AR38/AW38</f>
        <v>44213.763936947325</v>
      </c>
      <c r="AY38" s="449">
        <f t="shared" ref="AY38:AY46" si="34">+AX38*Q$12</f>
        <v>17641.291810841984</v>
      </c>
      <c r="AZ38" s="469">
        <f t="shared" ref="AZ38:AZ46" si="35">+AV38-AY38</f>
        <v>6692.7081891580128</v>
      </c>
    </row>
    <row r="39" spans="1:52" ht="15" customHeight="1" thickTop="1" thickBot="1" x14ac:dyDescent="0.35">
      <c r="A39" s="30"/>
      <c r="B39" s="218" t="s">
        <v>4</v>
      </c>
      <c r="C39" s="396" t="s">
        <v>16</v>
      </c>
      <c r="D39" s="397"/>
      <c r="E39" s="61">
        <v>15000</v>
      </c>
      <c r="F39" s="219"/>
      <c r="G39" s="61">
        <v>20000</v>
      </c>
      <c r="H39" s="219"/>
      <c r="I39" s="81">
        <v>25000</v>
      </c>
      <c r="J39" s="208"/>
      <c r="K39" s="193"/>
      <c r="Y39" s="218" t="s">
        <v>4</v>
      </c>
      <c r="Z39" s="220" t="s">
        <v>16</v>
      </c>
      <c r="AA39" s="236">
        <v>80000</v>
      </c>
      <c r="AB39" s="237">
        <v>100000</v>
      </c>
      <c r="AC39" s="237">
        <v>120000</v>
      </c>
      <c r="AD39" s="238">
        <v>130000</v>
      </c>
      <c r="AE39" s="31"/>
      <c r="AG39" s="387" t="s">
        <v>8</v>
      </c>
      <c r="AH39" s="80"/>
      <c r="AI39" s="390" t="s">
        <v>37</v>
      </c>
      <c r="AJ39" s="80"/>
      <c r="AK39" s="390" t="s">
        <v>38</v>
      </c>
      <c r="AL39" s="80"/>
      <c r="AM39" s="390" t="s">
        <v>39</v>
      </c>
      <c r="AN39" s="80"/>
      <c r="AO39" s="393" t="s">
        <v>36</v>
      </c>
      <c r="AQ39" s="452" t="s">
        <v>24</v>
      </c>
      <c r="AR39" s="484">
        <f t="shared" ref="AR39:AR46" si="36">+AR38</f>
        <v>299000</v>
      </c>
      <c r="AS39" s="483">
        <f t="shared" ref="AS39:AS46" si="37">+AS38</f>
        <v>6.5</v>
      </c>
      <c r="AT39" s="453"/>
      <c r="AU39" s="3">
        <f t="shared" ref="AU39:AU46" si="38">+AU38</f>
        <v>46000</v>
      </c>
      <c r="AV39" s="36">
        <f t="shared" si="32"/>
        <v>24333.999999999996</v>
      </c>
      <c r="AW39" s="465">
        <f t="shared" ref="AW39:AW46" si="39">+AW38+(AW38*AW$17)</f>
        <v>6.8978520000000003</v>
      </c>
      <c r="AX39" s="450">
        <f t="shared" si="33"/>
        <v>43346.827389164042</v>
      </c>
      <c r="AY39" s="449">
        <f t="shared" si="34"/>
        <v>17295.384128276455</v>
      </c>
      <c r="AZ39" s="469">
        <f t="shared" si="35"/>
        <v>7038.6158717235412</v>
      </c>
    </row>
    <row r="40" spans="1:52" ht="15" thickBot="1" x14ac:dyDescent="0.35">
      <c r="A40" s="30"/>
      <c r="B40" s="58">
        <v>20</v>
      </c>
      <c r="C40" s="398" t="s">
        <v>82</v>
      </c>
      <c r="D40" s="399"/>
      <c r="E40" s="47">
        <f>+E$39/$B40*$S$12</f>
        <v>161.25000000000003</v>
      </c>
      <c r="F40" s="47"/>
      <c r="G40" s="47">
        <f>+G$39/$B40*$S$12</f>
        <v>215.00000000000003</v>
      </c>
      <c r="H40" s="47"/>
      <c r="I40" s="48">
        <f>+I$39/$B40*$S$12</f>
        <v>268.75000000000006</v>
      </c>
      <c r="J40" s="209"/>
      <c r="K40" s="191"/>
      <c r="Y40" s="231">
        <v>5.5</v>
      </c>
      <c r="Z40" s="400" t="s">
        <v>82</v>
      </c>
      <c r="AA40" s="235"/>
      <c r="AB40" s="47">
        <f t="shared" ref="AB40:AD44" si="40">+AB$39/$Y40*$T$12</f>
        <v>5181.8181818181802</v>
      </c>
      <c r="AC40" s="47">
        <f t="shared" si="40"/>
        <v>6218.1818181818171</v>
      </c>
      <c r="AD40" s="48">
        <f t="shared" si="40"/>
        <v>6736.3636363636342</v>
      </c>
      <c r="AE40" s="31"/>
      <c r="AG40" s="388"/>
      <c r="AH40" s="205"/>
      <c r="AI40" s="391"/>
      <c r="AJ40" s="205"/>
      <c r="AK40" s="391"/>
      <c r="AL40" s="205"/>
      <c r="AM40" s="391"/>
      <c r="AN40" s="205"/>
      <c r="AO40" s="394"/>
      <c r="AQ40" s="452" t="s">
        <v>25</v>
      </c>
      <c r="AR40" s="484">
        <f t="shared" si="36"/>
        <v>299000</v>
      </c>
      <c r="AS40" s="483">
        <f t="shared" si="37"/>
        <v>6.5</v>
      </c>
      <c r="AT40" s="453"/>
      <c r="AU40" s="3">
        <f t="shared" si="38"/>
        <v>46000</v>
      </c>
      <c r="AV40" s="36">
        <f t="shared" si="32"/>
        <v>24333.999999999996</v>
      </c>
      <c r="AW40" s="465">
        <f t="shared" si="39"/>
        <v>7.0358090400000002</v>
      </c>
      <c r="AX40" s="450">
        <f t="shared" si="33"/>
        <v>42496.889597219655</v>
      </c>
      <c r="AY40" s="449">
        <f t="shared" si="34"/>
        <v>16956.258949290645</v>
      </c>
      <c r="AZ40" s="469">
        <f t="shared" si="35"/>
        <v>7377.7410507093518</v>
      </c>
    </row>
    <row r="41" spans="1:52" ht="15" thickBot="1" x14ac:dyDescent="0.35">
      <c r="A41" s="30"/>
      <c r="B41" s="58">
        <v>25</v>
      </c>
      <c r="C41" s="400"/>
      <c r="D41" s="401"/>
      <c r="E41" s="239">
        <f>+E$39/$B41*$S$12</f>
        <v>129.00000000000003</v>
      </c>
      <c r="F41" s="228"/>
      <c r="G41" s="47">
        <f>+G$39/$B41*$S$12</f>
        <v>172.00000000000003</v>
      </c>
      <c r="H41" s="47"/>
      <c r="I41" s="48">
        <f>+I$39/$B41*$S$12</f>
        <v>215.00000000000003</v>
      </c>
      <c r="J41" s="209"/>
      <c r="K41" s="191"/>
      <c r="Y41" s="231">
        <v>6</v>
      </c>
      <c r="Z41" s="400"/>
      <c r="AA41" s="233"/>
      <c r="AB41" s="47">
        <f t="shared" si="40"/>
        <v>4749.9999999999991</v>
      </c>
      <c r="AC41" s="47">
        <f t="shared" si="40"/>
        <v>5699.9999999999982</v>
      </c>
      <c r="AD41" s="48">
        <f t="shared" si="40"/>
        <v>6174.9999999999982</v>
      </c>
      <c r="AE41" s="31"/>
      <c r="AG41" s="388"/>
      <c r="AH41" s="205"/>
      <c r="AI41" s="391"/>
      <c r="AJ41" s="205"/>
      <c r="AK41" s="391"/>
      <c r="AL41" s="205"/>
      <c r="AM41" s="391"/>
      <c r="AN41" s="205"/>
      <c r="AO41" s="394"/>
      <c r="AQ41" s="452" t="s">
        <v>26</v>
      </c>
      <c r="AR41" s="484">
        <f t="shared" si="36"/>
        <v>299000</v>
      </c>
      <c r="AS41" s="483">
        <f t="shared" si="37"/>
        <v>6.5</v>
      </c>
      <c r="AT41" s="453">
        <f t="shared" ref="AT38:AT46" si="41">+I49</f>
        <v>0</v>
      </c>
      <c r="AU41" s="3">
        <f t="shared" si="38"/>
        <v>46000</v>
      </c>
      <c r="AV41" s="36">
        <f t="shared" si="32"/>
        <v>24333.999999999996</v>
      </c>
      <c r="AW41" s="465">
        <f t="shared" si="39"/>
        <v>7.1765252208000003</v>
      </c>
      <c r="AX41" s="450">
        <f t="shared" si="33"/>
        <v>41663.617252176133</v>
      </c>
      <c r="AY41" s="449">
        <f t="shared" si="34"/>
        <v>16623.783283618279</v>
      </c>
      <c r="AZ41" s="469">
        <f t="shared" si="35"/>
        <v>7710.2167163817176</v>
      </c>
    </row>
    <row r="42" spans="1:52" ht="15" thickBot="1" x14ac:dyDescent="0.35">
      <c r="A42" s="30"/>
      <c r="B42" s="207">
        <v>30</v>
      </c>
      <c r="C42" s="402"/>
      <c r="D42" s="403"/>
      <c r="E42" s="50">
        <f>+E$39/$B42*$S$12</f>
        <v>107.50000000000001</v>
      </c>
      <c r="F42" s="50"/>
      <c r="G42" s="50">
        <f>+G$39/$B42*$S$12</f>
        <v>143.33333333333334</v>
      </c>
      <c r="H42" s="50"/>
      <c r="I42" s="51">
        <f>+I$39/$B42*$S$12</f>
        <v>179.16666666666669</v>
      </c>
      <c r="J42" s="209"/>
      <c r="K42" s="191"/>
      <c r="M42" s="9"/>
      <c r="Y42" s="231">
        <v>6.5</v>
      </c>
      <c r="Z42" s="400"/>
      <c r="AA42" s="235"/>
      <c r="AB42" s="47">
        <f t="shared" si="40"/>
        <v>4384.6153846153838</v>
      </c>
      <c r="AC42" s="241">
        <f t="shared" si="40"/>
        <v>5261.5384615384601</v>
      </c>
      <c r="AD42" s="48">
        <f t="shared" si="40"/>
        <v>5699.9999999999982</v>
      </c>
      <c r="AE42" s="31"/>
      <c r="AG42" s="389"/>
      <c r="AH42" s="206"/>
      <c r="AI42" s="392"/>
      <c r="AJ42" s="206"/>
      <c r="AK42" s="392"/>
      <c r="AL42" s="206"/>
      <c r="AM42" s="392"/>
      <c r="AN42" s="206"/>
      <c r="AO42" s="395"/>
      <c r="AQ42" s="452" t="s">
        <v>27</v>
      </c>
      <c r="AR42" s="484">
        <f t="shared" si="36"/>
        <v>299000</v>
      </c>
      <c r="AS42" s="483">
        <f t="shared" si="37"/>
        <v>6.5</v>
      </c>
      <c r="AT42" s="453">
        <f t="shared" si="41"/>
        <v>0</v>
      </c>
      <c r="AU42" s="3">
        <f t="shared" si="38"/>
        <v>46000</v>
      </c>
      <c r="AV42" s="36">
        <f t="shared" si="32"/>
        <v>24333.999999999996</v>
      </c>
      <c r="AW42" s="465">
        <f t="shared" si="39"/>
        <v>7.3200557252160001</v>
      </c>
      <c r="AX42" s="450">
        <f t="shared" si="33"/>
        <v>40846.683580564837</v>
      </c>
      <c r="AY42" s="449">
        <f t="shared" si="34"/>
        <v>16297.826748645371</v>
      </c>
      <c r="AZ42" s="469">
        <f t="shared" si="35"/>
        <v>8036.1732513546249</v>
      </c>
    </row>
    <row r="43" spans="1:52" ht="15" thickBot="1" x14ac:dyDescent="0.35">
      <c r="A43" s="30"/>
      <c r="Y43" s="231">
        <v>7</v>
      </c>
      <c r="Z43" s="400"/>
      <c r="AA43" s="235"/>
      <c r="AB43" s="47">
        <f t="shared" si="40"/>
        <v>4071.4285714285706</v>
      </c>
      <c r="AC43" s="47">
        <f t="shared" si="40"/>
        <v>4885.7142857142835</v>
      </c>
      <c r="AD43" s="48">
        <f t="shared" si="40"/>
        <v>5292.8571428571413</v>
      </c>
      <c r="AE43" s="31"/>
      <c r="AG43" s="253" t="s">
        <v>22</v>
      </c>
      <c r="AI43" s="3">
        <f>+AI20*AI$15</f>
        <v>3646.6330945624995</v>
      </c>
      <c r="AJ43" s="85">
        <f t="shared" ref="AJ43:AJ53" si="42">+AI43/$AO43</f>
        <v>0.10782018912770067</v>
      </c>
      <c r="AK43" s="3">
        <f>+AK20*AK$15</f>
        <v>927.48367567499997</v>
      </c>
      <c r="AL43" s="84">
        <f t="shared" ref="AL43:AL53" si="43">+AK43/$AO43</f>
        <v>2.7422957761570756E-2</v>
      </c>
      <c r="AM43" s="3">
        <f>+J$50*AM20</f>
        <v>29247.314300000005</v>
      </c>
      <c r="AN43" s="84">
        <f t="shared" ref="AN43:AN53" si="44">+AM43/$AO43</f>
        <v>0.86475685311072847</v>
      </c>
      <c r="AO43" s="255">
        <f>+AM43+AK43+AI43</f>
        <v>33821.431070237508</v>
      </c>
      <c r="AQ43" s="452" t="s">
        <v>28</v>
      </c>
      <c r="AR43" s="484">
        <f t="shared" si="36"/>
        <v>299000</v>
      </c>
      <c r="AS43" s="483">
        <f t="shared" si="37"/>
        <v>6.5</v>
      </c>
      <c r="AT43" s="453">
        <f t="shared" si="41"/>
        <v>0</v>
      </c>
      <c r="AU43" s="3">
        <f t="shared" si="38"/>
        <v>46000</v>
      </c>
      <c r="AV43" s="36">
        <f t="shared" si="32"/>
        <v>24333.999999999996</v>
      </c>
      <c r="AW43" s="465">
        <f t="shared" si="39"/>
        <v>7.4664568397203199</v>
      </c>
      <c r="AX43" s="450">
        <f t="shared" si="33"/>
        <v>40045.768216240038</v>
      </c>
      <c r="AY43" s="449">
        <f t="shared" si="34"/>
        <v>15978.261518279776</v>
      </c>
      <c r="AZ43" s="469">
        <f t="shared" si="35"/>
        <v>8355.7384817202201</v>
      </c>
    </row>
    <row r="44" spans="1:52" ht="15" thickBot="1" x14ac:dyDescent="0.35">
      <c r="A44" s="30"/>
      <c r="B44" s="27" t="s">
        <v>90</v>
      </c>
      <c r="C44" s="25"/>
      <c r="D44" s="25"/>
      <c r="E44" s="25"/>
      <c r="F44" s="25"/>
      <c r="G44" s="25"/>
      <c r="H44" s="25"/>
      <c r="I44" s="25"/>
      <c r="J44" s="25"/>
      <c r="K44" s="26"/>
      <c r="Y44" s="232">
        <v>7.5</v>
      </c>
      <c r="Z44" s="402"/>
      <c r="AA44" s="234"/>
      <c r="AB44" s="50">
        <f t="shared" si="40"/>
        <v>3799.9999999999991</v>
      </c>
      <c r="AC44" s="50">
        <f t="shared" si="40"/>
        <v>4559.9999999999991</v>
      </c>
      <c r="AD44" s="51">
        <f t="shared" si="40"/>
        <v>4939.9999999999982</v>
      </c>
      <c r="AE44" s="31"/>
      <c r="AG44" s="253" t="s">
        <v>23</v>
      </c>
      <c r="AI44" s="3">
        <f>+AI22*AI$15</f>
        <v>6150.2926998696867</v>
      </c>
      <c r="AJ44" s="85">
        <f t="shared" si="42"/>
        <v>0.17541356908057856</v>
      </c>
      <c r="AK44" s="3">
        <f>+AK22*AK$15</f>
        <v>980.19229894462501</v>
      </c>
      <c r="AL44" s="85">
        <f t="shared" si="43"/>
        <v>2.7956235245001779E-2</v>
      </c>
      <c r="AM44" s="3">
        <f>+J$50*AM22</f>
        <v>27931.185156500003</v>
      </c>
      <c r="AN44" s="85">
        <f t="shared" si="44"/>
        <v>0.79663019567441973</v>
      </c>
      <c r="AO44" s="256">
        <f t="shared" ref="AO44" si="45">+AM44+AK44+AI44</f>
        <v>35061.670155314314</v>
      </c>
      <c r="AQ44" s="452" t="s">
        <v>29</v>
      </c>
      <c r="AR44" s="484">
        <f t="shared" si="36"/>
        <v>299000</v>
      </c>
      <c r="AS44" s="483">
        <f t="shared" si="37"/>
        <v>6.5</v>
      </c>
      <c r="AT44" s="453">
        <f t="shared" si="41"/>
        <v>0</v>
      </c>
      <c r="AU44" s="3">
        <f t="shared" si="38"/>
        <v>46000</v>
      </c>
      <c r="AV44" s="36">
        <f t="shared" si="32"/>
        <v>24333.999999999996</v>
      </c>
      <c r="AW44" s="465">
        <f t="shared" si="39"/>
        <v>7.6157859765147267</v>
      </c>
      <c r="AX44" s="450">
        <f t="shared" si="33"/>
        <v>39260.557074745127</v>
      </c>
      <c r="AY44" s="449">
        <f t="shared" si="34"/>
        <v>15664.962272823306</v>
      </c>
      <c r="AZ44" s="469">
        <f t="shared" si="35"/>
        <v>8669.0377271766902</v>
      </c>
    </row>
    <row r="45" spans="1:52" ht="15" thickBot="1" x14ac:dyDescent="0.35">
      <c r="A45" s="30"/>
      <c r="B45" s="27"/>
      <c r="C45" s="87"/>
      <c r="D45" s="25"/>
      <c r="E45" s="25"/>
      <c r="F45" s="26"/>
      <c r="G45" s="412" t="s">
        <v>79</v>
      </c>
      <c r="H45" s="412"/>
      <c r="I45" s="212" t="s">
        <v>78</v>
      </c>
      <c r="J45" s="410" t="s">
        <v>17</v>
      </c>
      <c r="K45" s="411"/>
      <c r="AE45" s="31"/>
      <c r="AG45" s="253" t="s">
        <v>24</v>
      </c>
      <c r="AI45" s="3">
        <f>+AI24*AI$15</f>
        <v>8541.2876229380508</v>
      </c>
      <c r="AJ45" s="85">
        <f t="shared" si="42"/>
        <v>0.23564708977664875</v>
      </c>
      <c r="AK45" s="3">
        <f>+AK24*AK$15</f>
        <v>1030.5290341671168</v>
      </c>
      <c r="AL45" s="85">
        <f t="shared" si="43"/>
        <v>2.8431447171929875E-2</v>
      </c>
      <c r="AM45" s="3">
        <f>+J$50*AM24</f>
        <v>26674.281824457503</v>
      </c>
      <c r="AN45" s="85">
        <f t="shared" si="44"/>
        <v>0.73592146305142137</v>
      </c>
      <c r="AO45" s="256">
        <f t="shared" ref="AO45:AO52" si="46">+AM45+AK45+AI45</f>
        <v>36246.098481562673</v>
      </c>
      <c r="AQ45" s="454" t="s">
        <v>30</v>
      </c>
      <c r="AR45" s="484">
        <f t="shared" si="36"/>
        <v>299000</v>
      </c>
      <c r="AS45" s="483">
        <f t="shared" si="37"/>
        <v>6.5</v>
      </c>
      <c r="AT45" s="453">
        <f t="shared" si="41"/>
        <v>0</v>
      </c>
      <c r="AU45" s="3">
        <f t="shared" si="38"/>
        <v>46000</v>
      </c>
      <c r="AV45" s="36">
        <f t="shared" si="32"/>
        <v>24333.999999999996</v>
      </c>
      <c r="AW45" s="465">
        <f t="shared" si="39"/>
        <v>7.7681016960450213</v>
      </c>
      <c r="AX45" s="450">
        <f t="shared" si="33"/>
        <v>38490.742230142285</v>
      </c>
      <c r="AY45" s="449">
        <f t="shared" si="34"/>
        <v>15357.806149826773</v>
      </c>
      <c r="AZ45" s="469">
        <f t="shared" si="35"/>
        <v>8976.1938501732238</v>
      </c>
    </row>
    <row r="46" spans="1:52" ht="15" thickBot="1" x14ac:dyDescent="0.35">
      <c r="A46" s="30"/>
      <c r="B46" s="22" t="s">
        <v>34</v>
      </c>
      <c r="C46" s="23"/>
      <c r="D46" s="23"/>
      <c r="E46" s="23"/>
      <c r="F46" s="23"/>
      <c r="G46" s="413">
        <f>+O12</f>
        <v>0.184</v>
      </c>
      <c r="H46" s="414"/>
      <c r="I46" s="215">
        <f>+M17</f>
        <v>142444</v>
      </c>
      <c r="J46" s="417">
        <f>+I46*G46</f>
        <v>26209.696</v>
      </c>
      <c r="K46" s="418"/>
      <c r="AE46" s="31"/>
      <c r="AG46" s="253" t="s">
        <v>25</v>
      </c>
      <c r="AI46" s="3">
        <f>+AI26*AI$15</f>
        <v>10824.687774468337</v>
      </c>
      <c r="AJ46" s="85">
        <f t="shared" si="42"/>
        <v>0.2896064927467859</v>
      </c>
      <c r="AK46" s="3">
        <f>+AK26*AK$15</f>
        <v>1078.6006163045965</v>
      </c>
      <c r="AL46" s="85">
        <f t="shared" si="43"/>
        <v>2.8857159492328935E-2</v>
      </c>
      <c r="AM46" s="3">
        <f>+J$50*AM26</f>
        <v>25473.939142356918</v>
      </c>
      <c r="AN46" s="85">
        <f t="shared" si="44"/>
        <v>0.68153634776088512</v>
      </c>
      <c r="AO46" s="256">
        <f t="shared" si="46"/>
        <v>37377.227533129852</v>
      </c>
      <c r="AQ46" s="485" t="s">
        <v>31</v>
      </c>
      <c r="AR46" s="484">
        <f t="shared" si="36"/>
        <v>299000</v>
      </c>
      <c r="AS46" s="483">
        <f t="shared" si="37"/>
        <v>6.5</v>
      </c>
      <c r="AT46" s="453">
        <f t="shared" si="41"/>
        <v>0</v>
      </c>
      <c r="AU46" s="3">
        <f t="shared" si="38"/>
        <v>46000</v>
      </c>
      <c r="AV46" s="37">
        <f t="shared" si="32"/>
        <v>24333.999999999996</v>
      </c>
      <c r="AW46" s="464">
        <f t="shared" si="39"/>
        <v>7.9234637299659214</v>
      </c>
      <c r="AX46" s="450">
        <f t="shared" si="33"/>
        <v>37736.02179425714</v>
      </c>
      <c r="AY46" s="449">
        <f t="shared" si="34"/>
        <v>15056.672695908599</v>
      </c>
      <c r="AZ46" s="469">
        <f t="shared" si="35"/>
        <v>9277.3273040913973</v>
      </c>
    </row>
    <row r="47" spans="1:52" ht="15" thickBot="1" x14ac:dyDescent="0.35">
      <c r="A47" s="30"/>
      <c r="B47" s="213" t="s">
        <v>35</v>
      </c>
      <c r="C47" s="214"/>
      <c r="D47" s="214"/>
      <c r="E47" s="214"/>
      <c r="F47" s="214"/>
      <c r="G47" s="415">
        <f>+S12</f>
        <v>0.21500000000000002</v>
      </c>
      <c r="H47" s="416"/>
      <c r="I47" s="216"/>
      <c r="J47" s="419">
        <f>+I46*G47</f>
        <v>30625.460000000003</v>
      </c>
      <c r="K47" s="420"/>
      <c r="AE47" s="31"/>
      <c r="AG47" s="253" t="s">
        <v>26</v>
      </c>
      <c r="AI47" s="3">
        <f>+AI28*AI$15</f>
        <v>13005.334919179762</v>
      </c>
      <c r="AJ47" s="85">
        <f t="shared" si="42"/>
        <v>0.33817460506137936</v>
      </c>
      <c r="AK47" s="3">
        <f>+AK28*AK$15</f>
        <v>1124.5089772458898</v>
      </c>
      <c r="AL47" s="85">
        <f t="shared" si="43"/>
        <v>2.9240337264000923E-2</v>
      </c>
      <c r="AM47" s="3">
        <f>+J$50*AM28</f>
        <v>24327.611880950855</v>
      </c>
      <c r="AN47" s="85">
        <f t="shared" si="44"/>
        <v>0.63258505767461981</v>
      </c>
      <c r="AO47" s="256">
        <f t="shared" si="46"/>
        <v>38457.455777376505</v>
      </c>
      <c r="AQ47" s="487" t="s">
        <v>2</v>
      </c>
      <c r="AR47" s="486">
        <f>SUM(AR37:AR46)</f>
        <v>2990000</v>
      </c>
      <c r="AS47" s="470"/>
      <c r="AT47" s="470"/>
      <c r="AU47" s="480">
        <f>SUM(AU37:AU46)</f>
        <v>460000</v>
      </c>
      <c r="AV47" s="471">
        <f>SUM(AV37:AV46)</f>
        <v>243339.99999999997</v>
      </c>
      <c r="AW47" s="262"/>
      <c r="AX47" s="480">
        <f>SUM(AX37:AX46)</f>
        <v>413198.91028714285</v>
      </c>
      <c r="AY47" s="480">
        <f t="shared" ref="AY47" si="47">SUM(AY37:AY46)</f>
        <v>164866.36520457</v>
      </c>
      <c r="AZ47" s="482">
        <f t="shared" ref="AZ47" si="48">SUM(AZ37:AZ46)</f>
        <v>78473.634795429942</v>
      </c>
    </row>
    <row r="48" spans="1:52" ht="15.6" thickTop="1" thickBot="1" x14ac:dyDescent="0.35">
      <c r="A48" s="30"/>
      <c r="B48" s="211" t="s">
        <v>81</v>
      </c>
      <c r="F48" s="25"/>
      <c r="G48" s="404">
        <f>+G46+G47</f>
        <v>0.39900000000000002</v>
      </c>
      <c r="H48" s="405"/>
      <c r="I48" s="217">
        <f>+I46</f>
        <v>142444</v>
      </c>
      <c r="J48" s="421">
        <f>+J46+J47</f>
        <v>56835.156000000003</v>
      </c>
      <c r="K48" s="422"/>
      <c r="AE48" s="31"/>
      <c r="AG48" s="253" t="s">
        <v>27</v>
      </c>
      <c r="AI48" s="3">
        <f>+AI28*AI$15</f>
        <v>13005.334919179762</v>
      </c>
      <c r="AJ48" s="85">
        <f t="shared" si="42"/>
        <v>0.34808325708810861</v>
      </c>
      <c r="AK48" s="3">
        <f>+AK28*AK$15</f>
        <v>1124.5089772458898</v>
      </c>
      <c r="AL48" s="85">
        <f t="shared" si="43"/>
        <v>3.0097090913615159E-2</v>
      </c>
      <c r="AM48" s="3">
        <f>+J$50*AM30</f>
        <v>23232.869346308067</v>
      </c>
      <c r="AN48" s="85">
        <f t="shared" si="44"/>
        <v>0.62181965199827616</v>
      </c>
      <c r="AO48" s="256">
        <f t="shared" si="46"/>
        <v>37362.71324273372</v>
      </c>
      <c r="AQ48" s="488" t="s">
        <v>105</v>
      </c>
      <c r="AR48" s="489"/>
      <c r="AS48" s="489"/>
      <c r="AT48" s="489"/>
      <c r="AU48" s="489"/>
      <c r="AV48" s="489"/>
      <c r="AW48" s="489"/>
      <c r="AX48" s="489"/>
      <c r="AY48" s="489"/>
      <c r="AZ48" s="490"/>
    </row>
    <row r="49" spans="1:48" ht="15" thickBot="1" x14ac:dyDescent="0.35">
      <c r="A49" s="30"/>
      <c r="B49" s="82" t="s">
        <v>103</v>
      </c>
      <c r="C49" s="83"/>
      <c r="D49" s="83"/>
      <c r="E49" s="83"/>
      <c r="F49" s="83"/>
      <c r="G49" s="83"/>
      <c r="H49" s="83"/>
      <c r="I49" s="83"/>
      <c r="J49" s="408">
        <f>+AM18</f>
        <v>245.299003</v>
      </c>
      <c r="K49" s="409"/>
      <c r="Y49" s="194"/>
      <c r="Z49" s="46"/>
      <c r="AA49" s="191"/>
      <c r="AB49" s="191"/>
      <c r="AC49" s="191"/>
      <c r="AD49" s="191"/>
      <c r="AE49" s="31"/>
      <c r="AG49" s="253" t="s">
        <v>28</v>
      </c>
      <c r="AI49" s="3">
        <f>+AI32*AI$15</f>
        <v>17076.657654534611</v>
      </c>
      <c r="AJ49" s="85">
        <f t="shared" si="42"/>
        <v>0.42191392487802187</v>
      </c>
      <c r="AK49" s="3">
        <f>+AK32*AK$15</f>
        <v>1210.2210348323076</v>
      </c>
      <c r="AL49" s="85">
        <f t="shared" si="43"/>
        <v>2.9900998023489146E-2</v>
      </c>
      <c r="AM49" s="3">
        <f>+J$50*AM32</f>
        <v>22187.390225724204</v>
      </c>
      <c r="AN49" s="85">
        <f t="shared" si="44"/>
        <v>0.54818507709848907</v>
      </c>
      <c r="AO49" s="256">
        <f t="shared" si="46"/>
        <v>40474.268915091117</v>
      </c>
    </row>
    <row r="50" spans="1:48" ht="15" thickBot="1" x14ac:dyDescent="0.35">
      <c r="A50" s="30"/>
      <c r="B50" s="213" t="s">
        <v>80</v>
      </c>
      <c r="C50" s="25"/>
      <c r="D50" s="25"/>
      <c r="E50" s="25"/>
      <c r="F50" s="25"/>
      <c r="G50" s="24"/>
      <c r="H50" s="24"/>
      <c r="I50" s="24"/>
      <c r="J50" s="406">
        <f>+J47/J49</f>
        <v>124.84950866269931</v>
      </c>
      <c r="K50" s="407"/>
      <c r="Y50" s="203"/>
      <c r="Z50" s="46"/>
      <c r="AA50" s="46"/>
      <c r="AB50" s="46"/>
      <c r="AC50" s="46"/>
      <c r="AD50" s="46"/>
      <c r="AE50" s="31"/>
      <c r="AG50" s="253" t="s">
        <v>29</v>
      </c>
      <c r="AI50" s="3">
        <f>+AI34*AI$15</f>
        <v>18975.966154643054</v>
      </c>
      <c r="AJ50" s="85">
        <f t="shared" si="42"/>
        <v>0.4581892177687803</v>
      </c>
      <c r="AK50" s="3">
        <f>+AK34*AK$15</f>
        <v>1250.2064769398539</v>
      </c>
      <c r="AL50" s="85">
        <f t="shared" si="43"/>
        <v>3.0187191685013284E-2</v>
      </c>
      <c r="AM50" s="3">
        <f>+J$50*AM34</f>
        <v>21188.957665566617</v>
      </c>
      <c r="AN50" s="85">
        <f t="shared" si="44"/>
        <v>0.51162359054620643</v>
      </c>
      <c r="AO50" s="256">
        <f t="shared" si="46"/>
        <v>41415.130297149524</v>
      </c>
    </row>
    <row r="51" spans="1:48" ht="15" thickBot="1" x14ac:dyDescent="0.35">
      <c r="A51" s="30"/>
      <c r="T51" s="240"/>
      <c r="Y51" s="192"/>
      <c r="Z51" s="46"/>
      <c r="AA51" s="193"/>
      <c r="AB51" s="193"/>
      <c r="AC51" s="193"/>
      <c r="AD51" s="193"/>
      <c r="AE51" s="31"/>
      <c r="AG51" s="253" t="s">
        <v>30</v>
      </c>
      <c r="AI51" s="3">
        <f>+AI36*AI$15</f>
        <v>20789.805772246615</v>
      </c>
      <c r="AJ51" s="85">
        <f t="shared" si="42"/>
        <v>0.49132618762599328</v>
      </c>
      <c r="AK51" s="3">
        <f>+AK36*AK$15</f>
        <v>1288.3925741525604</v>
      </c>
      <c r="AL51" s="85">
        <f t="shared" si="43"/>
        <v>3.0448625569608246E-2</v>
      </c>
      <c r="AM51" s="3">
        <f>+J$50*AM36</f>
        <v>20235.454570616119</v>
      </c>
      <c r="AN51" s="85">
        <f t="shared" si="44"/>
        <v>0.47822518680439846</v>
      </c>
      <c r="AO51" s="256">
        <f t="shared" si="46"/>
        <v>42313.652917015293</v>
      </c>
      <c r="AR51" s="46"/>
      <c r="AS51" s="46"/>
      <c r="AT51" s="46"/>
      <c r="AU51" s="46"/>
      <c r="AV51" s="46"/>
    </row>
    <row r="52" spans="1:48" ht="15" thickBot="1" x14ac:dyDescent="0.35">
      <c r="A52" s="30"/>
      <c r="B52" s="52" t="s">
        <v>85</v>
      </c>
      <c r="C52" s="25"/>
      <c r="D52" s="53"/>
      <c r="E52" s="56"/>
      <c r="F52" s="53"/>
      <c r="G52" s="54"/>
      <c r="Y52" s="192"/>
      <c r="Z52" s="46"/>
      <c r="AA52" s="191"/>
      <c r="AB52" s="191"/>
      <c r="AC52" s="191"/>
      <c r="AD52" s="191"/>
      <c r="AE52" s="31"/>
      <c r="AG52" s="253" t="s">
        <v>31</v>
      </c>
      <c r="AI52" s="3">
        <f>+AI38*AI$15</f>
        <v>22522.022607058021</v>
      </c>
      <c r="AJ52" s="86">
        <f t="shared" si="42"/>
        <v>0.52168436004163887</v>
      </c>
      <c r="AK52" s="21">
        <f>+AK38*AK15</f>
        <v>1324.8602969906954</v>
      </c>
      <c r="AL52" s="86">
        <f t="shared" si="43"/>
        <v>3.0688136151837846E-2</v>
      </c>
      <c r="AM52" s="21">
        <f>+J$50*AM38</f>
        <v>19324.859114938394</v>
      </c>
      <c r="AN52" s="86">
        <f t="shared" si="44"/>
        <v>0.44762750380652327</v>
      </c>
      <c r="AO52" s="255">
        <f t="shared" si="46"/>
        <v>43171.742018987112</v>
      </c>
    </row>
    <row r="53" spans="1:48" ht="15.75" customHeight="1" thickBot="1" x14ac:dyDescent="0.35">
      <c r="A53" s="30"/>
      <c r="B53" s="55" t="s">
        <v>14</v>
      </c>
      <c r="C53" s="56"/>
      <c r="D53" s="56"/>
      <c r="E53" s="56"/>
      <c r="F53" s="56"/>
      <c r="G53" s="230">
        <f>+S17</f>
        <v>30625.460000000003</v>
      </c>
      <c r="Y53" s="192"/>
      <c r="Z53" s="46"/>
      <c r="AA53" s="191"/>
      <c r="AB53" s="191"/>
      <c r="AC53" s="191"/>
      <c r="AD53" s="191"/>
      <c r="AE53" s="31"/>
      <c r="AG53" s="257" t="s">
        <v>2</v>
      </c>
      <c r="AH53" s="87"/>
      <c r="AI53" s="88">
        <f>SUM(AI43:AI52)</f>
        <v>134538.02321868041</v>
      </c>
      <c r="AJ53" s="90">
        <f t="shared" si="42"/>
        <v>0.3488139440621561</v>
      </c>
      <c r="AK53" s="89">
        <f>SUM(AK43:AK52)</f>
        <v>11339.503962498535</v>
      </c>
      <c r="AL53" s="90">
        <f t="shared" si="43"/>
        <v>2.9399696875569693E-2</v>
      </c>
      <c r="AM53" s="89">
        <f>SUM(AM43:AM52)</f>
        <v>239823.86322741868</v>
      </c>
      <c r="AN53" s="91">
        <f t="shared" si="44"/>
        <v>0.6217863590622742</v>
      </c>
      <c r="AO53" s="258">
        <f>SUM(AO43:AO52)</f>
        <v>385701.39040859765</v>
      </c>
    </row>
    <row r="54" spans="1:48" ht="15" thickBot="1" x14ac:dyDescent="0.35">
      <c r="A54" s="30"/>
      <c r="B54" s="229" t="s">
        <v>13</v>
      </c>
      <c r="C54" s="210"/>
      <c r="D54" s="210"/>
      <c r="E54" s="210"/>
      <c r="F54" s="210"/>
      <c r="G54" s="243">
        <v>130</v>
      </c>
      <c r="I54" s="195"/>
      <c r="Y54" s="192"/>
      <c r="Z54" s="46"/>
      <c r="AA54" s="191"/>
      <c r="AB54" s="191"/>
      <c r="AC54" s="191"/>
      <c r="AD54" s="191"/>
      <c r="AE54" s="31"/>
      <c r="AG54" s="259" t="s">
        <v>41</v>
      </c>
      <c r="AH54" s="24"/>
      <c r="AI54" s="24"/>
      <c r="AJ54" s="24"/>
      <c r="AK54" s="24"/>
      <c r="AL54" s="24"/>
      <c r="AM54" s="24"/>
      <c r="AN54" s="24"/>
      <c r="AO54" s="260">
        <f>+AO43*10</f>
        <v>338214.31070237508</v>
      </c>
    </row>
    <row r="55" spans="1:48" ht="15" thickBot="1" x14ac:dyDescent="0.35">
      <c r="A55" s="30"/>
      <c r="B55" s="242" t="s">
        <v>15</v>
      </c>
      <c r="C55" s="49"/>
      <c r="D55" s="49"/>
      <c r="E55" s="49"/>
      <c r="F55" s="49"/>
      <c r="G55" s="244">
        <f>+G53/G54</f>
        <v>235.58046153846155</v>
      </c>
      <c r="Y55" s="192"/>
      <c r="Z55" s="46"/>
      <c r="AA55" s="191"/>
      <c r="AB55" s="191"/>
      <c r="AC55" s="191"/>
      <c r="AD55" s="191"/>
      <c r="AE55" s="31"/>
      <c r="AG55" s="261" t="s">
        <v>77</v>
      </c>
      <c r="AH55" s="262"/>
      <c r="AI55" s="262"/>
      <c r="AJ55" s="262"/>
      <c r="AK55" s="262"/>
      <c r="AL55" s="262"/>
      <c r="AM55" s="262"/>
      <c r="AN55" s="262"/>
      <c r="AO55" s="263">
        <f>+AO53-AO54</f>
        <v>47487.079706222576</v>
      </c>
    </row>
    <row r="56" spans="1:48" x14ac:dyDescent="0.3">
      <c r="A56" s="30"/>
      <c r="AD56" s="191"/>
      <c r="AE56" s="31"/>
      <c r="AG56" s="5"/>
      <c r="AO56" s="247"/>
    </row>
    <row r="57" spans="1:48" x14ac:dyDescent="0.3">
      <c r="A57" s="30"/>
      <c r="AD57" s="46"/>
      <c r="AE57" s="31"/>
    </row>
    <row r="58" spans="1:48" x14ac:dyDescent="0.3">
      <c r="A58" s="30"/>
      <c r="AD58" s="46"/>
      <c r="AE58" s="31"/>
    </row>
    <row r="59" spans="1:48" x14ac:dyDescent="0.3">
      <c r="A59" s="30"/>
      <c r="AD59" s="46"/>
      <c r="AE59" s="31"/>
    </row>
    <row r="60" spans="1:48" x14ac:dyDescent="0.3">
      <c r="A60" s="30"/>
      <c r="AD60" s="9"/>
      <c r="AE60" s="31"/>
    </row>
    <row r="61" spans="1:48" ht="15" thickBot="1" x14ac:dyDescent="0.35">
      <c r="A61" s="32"/>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4"/>
      <c r="AE61" s="35"/>
    </row>
    <row r="62" spans="1:48" ht="15" thickTop="1" x14ac:dyDescent="0.3">
      <c r="AD62" s="9"/>
    </row>
    <row r="63" spans="1:48" x14ac:dyDescent="0.3">
      <c r="AD63" s="9"/>
    </row>
    <row r="64" spans="1:48" x14ac:dyDescent="0.3">
      <c r="A64" t="s">
        <v>92</v>
      </c>
    </row>
  </sheetData>
  <mergeCells count="108">
    <mergeCell ref="AX35:AX36"/>
    <mergeCell ref="AY35:AY36"/>
    <mergeCell ref="AQ29:AZ29"/>
    <mergeCell ref="AQ48:AZ48"/>
    <mergeCell ref="AR34:AV34"/>
    <mergeCell ref="AR35:AR36"/>
    <mergeCell ref="AS35:AS36"/>
    <mergeCell ref="AT35:AT36"/>
    <mergeCell ref="AU35:AU36"/>
    <mergeCell ref="AV35:AV36"/>
    <mergeCell ref="AZ14:AZ17"/>
    <mergeCell ref="AR16:AR17"/>
    <mergeCell ref="AS16:AS17"/>
    <mergeCell ref="AT16:AT17"/>
    <mergeCell ref="AU16:AU17"/>
    <mergeCell ref="AV16:AV17"/>
    <mergeCell ref="AR14:AV14"/>
    <mergeCell ref="AW14:AY14"/>
    <mergeCell ref="AQ13:AZ13"/>
    <mergeCell ref="AQ32:AZ32"/>
    <mergeCell ref="AR33:AV33"/>
    <mergeCell ref="AW33:AY33"/>
    <mergeCell ref="AZ33:AZ36"/>
    <mergeCell ref="AX16:AX17"/>
    <mergeCell ref="AY16:AY17"/>
    <mergeCell ref="E24:E25"/>
    <mergeCell ref="F24:F25"/>
    <mergeCell ref="AR15:AV15"/>
    <mergeCell ref="AI16:AO16"/>
    <mergeCell ref="AI17:AO17"/>
    <mergeCell ref="S7:U10"/>
    <mergeCell ref="AG13:AO13"/>
    <mergeCell ref="AG17:AG18"/>
    <mergeCell ref="AG14:AG16"/>
    <mergeCell ref="AH14:AH15"/>
    <mergeCell ref="AA11:AA12"/>
    <mergeCell ref="AG19:AG20"/>
    <mergeCell ref="AG21:AG22"/>
    <mergeCell ref="AG23:AG24"/>
    <mergeCell ref="AG25:AG26"/>
    <mergeCell ref="AG27:AG28"/>
    <mergeCell ref="AG29:AG30"/>
    <mergeCell ref="AG31:AG32"/>
    <mergeCell ref="AG33:AG34"/>
    <mergeCell ref="AG35:AG36"/>
    <mergeCell ref="AG37:AG38"/>
    <mergeCell ref="C39:D39"/>
    <mergeCell ref="C40:D42"/>
    <mergeCell ref="G48:H48"/>
    <mergeCell ref="J50:K50"/>
    <mergeCell ref="Z40:Z44"/>
    <mergeCell ref="J49:K49"/>
    <mergeCell ref="J45:K45"/>
    <mergeCell ref="G45:H45"/>
    <mergeCell ref="G46:H46"/>
    <mergeCell ref="G47:H47"/>
    <mergeCell ref="J46:K46"/>
    <mergeCell ref="J47:K47"/>
    <mergeCell ref="J48:K48"/>
    <mergeCell ref="AG39:AG42"/>
    <mergeCell ref="AI39:AI42"/>
    <mergeCell ref="AK39:AK42"/>
    <mergeCell ref="AM39:AM42"/>
    <mergeCell ref="AO39:AO42"/>
    <mergeCell ref="AB21:AB24"/>
    <mergeCell ref="AC7:AC10"/>
    <mergeCell ref="AC24:AC25"/>
    <mergeCell ref="AB7:AB10"/>
    <mergeCell ref="AC11:AC12"/>
    <mergeCell ref="AB11:AB12"/>
    <mergeCell ref="J26:L35"/>
    <mergeCell ref="Z11:Z12"/>
    <mergeCell ref="V24:W24"/>
    <mergeCell ref="Y24:Y25"/>
    <mergeCell ref="Z24:Z25"/>
    <mergeCell ref="U11:U12"/>
    <mergeCell ref="X11:X12"/>
    <mergeCell ref="Y11:Y12"/>
    <mergeCell ref="X24:X25"/>
    <mergeCell ref="M11:N11"/>
    <mergeCell ref="B24:B25"/>
    <mergeCell ref="C24:C25"/>
    <mergeCell ref="D24:D25"/>
    <mergeCell ref="Q24:R24"/>
    <mergeCell ref="M24:N24"/>
    <mergeCell ref="G24:I24"/>
    <mergeCell ref="J24:L24"/>
    <mergeCell ref="G7:L10"/>
    <mergeCell ref="C11:C12"/>
    <mergeCell ref="D11:D12"/>
    <mergeCell ref="E11:E12"/>
    <mergeCell ref="F11:F12"/>
    <mergeCell ref="B11:B12"/>
    <mergeCell ref="B22:Z23"/>
    <mergeCell ref="B4:AD6"/>
    <mergeCell ref="O7:P7"/>
    <mergeCell ref="Q7:R7"/>
    <mergeCell ref="AA7:AA8"/>
    <mergeCell ref="O8:P8"/>
    <mergeCell ref="Q9:R9"/>
    <mergeCell ref="AD21:AD25"/>
    <mergeCell ref="V7:X10"/>
    <mergeCell ref="Y7:Y10"/>
    <mergeCell ref="Z7:Z10"/>
    <mergeCell ref="G11:I11"/>
    <mergeCell ref="C7:F10"/>
    <mergeCell ref="J11:L11"/>
    <mergeCell ref="M7:N10"/>
  </mergeCells>
  <pageMargins left="0.95" right="0.45" top="1" bottom="1" header="0" footer="0"/>
  <pageSetup scale="3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AA236-548E-428D-B096-1B1AEDF8EC01}">
  <sheetPr>
    <pageSetUpPr fitToPage="1"/>
  </sheetPr>
  <dimension ref="A2:AO62"/>
  <sheetViews>
    <sheetView showGridLines="0" zoomScaleNormal="100" workbookViewId="0">
      <selection activeCell="D21" sqref="D21"/>
    </sheetView>
  </sheetViews>
  <sheetFormatPr defaultRowHeight="14.4" x14ac:dyDescent="0.3"/>
  <cols>
    <col min="1" max="1" width="3.6640625" customWidth="1"/>
    <col min="2" max="2" width="8.88671875" customWidth="1"/>
    <col min="3" max="3" width="13.33203125" customWidth="1"/>
    <col min="4" max="4" width="7" customWidth="1"/>
    <col min="5" max="5" width="10" customWidth="1"/>
    <col min="6" max="6" width="8" customWidth="1"/>
    <col min="7" max="7" width="10.44140625" customWidth="1"/>
    <col min="8" max="8" width="6.33203125" bestFit="1" customWidth="1"/>
    <col min="9" max="9" width="11.33203125" bestFit="1" customWidth="1"/>
    <col min="13" max="13" width="11.109375" customWidth="1"/>
    <col min="14" max="14" width="9.88671875" customWidth="1"/>
    <col min="15" max="16" width="0" hidden="1" customWidth="1"/>
    <col min="17" max="18" width="9.88671875" customWidth="1"/>
    <col min="19" max="19" width="10.5546875" customWidth="1"/>
    <col min="20" max="20" width="9.33203125" customWidth="1"/>
    <col min="21" max="21" width="10" customWidth="1"/>
    <col min="22" max="22" width="10.88671875" customWidth="1"/>
    <col min="23" max="23" width="9.88671875" customWidth="1"/>
    <col min="24" max="24" width="10.6640625" customWidth="1"/>
    <col min="25" max="26" width="10.44140625" customWidth="1"/>
    <col min="27" max="27" width="10.33203125" customWidth="1"/>
    <col min="28" max="28" width="10.6640625" customWidth="1"/>
    <col min="29" max="30" width="11" customWidth="1"/>
    <col min="35" max="35" width="9.6640625" customWidth="1"/>
    <col min="39" max="39" width="10" customWidth="1"/>
    <col min="41" max="41" width="10.6640625" customWidth="1"/>
  </cols>
  <sheetData>
    <row r="2" spans="1:41" ht="34.200000000000003" customHeight="1" thickBot="1" x14ac:dyDescent="0.3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G2" s="203"/>
      <c r="AO2" s="204"/>
    </row>
    <row r="3" spans="1:41" ht="24.6" thickTop="1" thickBot="1" x14ac:dyDescent="0.5">
      <c r="A3" s="30"/>
      <c r="G3" s="172"/>
      <c r="H3" s="172"/>
      <c r="I3" s="172"/>
      <c r="J3" s="172"/>
      <c r="K3" s="172"/>
      <c r="L3" s="172"/>
      <c r="M3" s="172"/>
      <c r="N3" s="172"/>
      <c r="O3" s="172"/>
      <c r="P3" s="172"/>
      <c r="Q3" s="172"/>
      <c r="R3" s="172"/>
      <c r="S3" s="172"/>
      <c r="T3" s="172"/>
      <c r="U3" s="172"/>
      <c r="V3" s="172"/>
      <c r="W3" s="172"/>
      <c r="X3" s="172"/>
      <c r="Y3" s="172"/>
      <c r="Z3" s="172"/>
      <c r="AA3" s="172"/>
      <c r="AB3" s="172"/>
      <c r="AC3" s="172"/>
      <c r="AD3" s="172"/>
      <c r="AE3" s="31"/>
      <c r="AG3" s="203"/>
      <c r="AO3" s="204"/>
    </row>
    <row r="4" spans="1:41" x14ac:dyDescent="0.3">
      <c r="A4" s="30"/>
      <c r="B4" s="299" t="s">
        <v>64</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1"/>
      <c r="AE4" s="31"/>
      <c r="AN4" s="46"/>
      <c r="AO4" s="46"/>
    </row>
    <row r="5" spans="1:41" x14ac:dyDescent="0.3">
      <c r="A5" s="30"/>
      <c r="B5" s="302"/>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4"/>
      <c r="AE5" s="31"/>
    </row>
    <row r="6" spans="1:41" ht="31.2" customHeight="1" thickBot="1" x14ac:dyDescent="0.35">
      <c r="A6" s="30"/>
      <c r="B6" s="305"/>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7"/>
      <c r="AE6" s="31"/>
    </row>
    <row r="7" spans="1:41" ht="45" customHeight="1" thickBot="1" x14ac:dyDescent="0.35">
      <c r="A7" s="30"/>
      <c r="C7" s="334" t="s">
        <v>46</v>
      </c>
      <c r="D7" s="335"/>
      <c r="E7" s="335"/>
      <c r="F7" s="336"/>
      <c r="G7" s="340" t="s">
        <v>43</v>
      </c>
      <c r="H7" s="344"/>
      <c r="I7" s="344"/>
      <c r="J7" s="344"/>
      <c r="K7" s="344"/>
      <c r="L7" s="341"/>
      <c r="M7" s="340" t="s">
        <v>61</v>
      </c>
      <c r="N7" s="341"/>
      <c r="O7" s="308" t="s">
        <v>10</v>
      </c>
      <c r="P7" s="309"/>
      <c r="Q7" s="310" t="s">
        <v>62</v>
      </c>
      <c r="R7" s="311"/>
      <c r="S7" s="431" t="s">
        <v>89</v>
      </c>
      <c r="T7" s="431"/>
      <c r="U7" s="432"/>
      <c r="V7" s="321" t="s">
        <v>71</v>
      </c>
      <c r="W7" s="322"/>
      <c r="X7" s="323"/>
      <c r="Y7" s="327" t="s">
        <v>72</v>
      </c>
      <c r="Z7" s="329" t="s">
        <v>60</v>
      </c>
      <c r="AA7" s="312" t="s">
        <v>18</v>
      </c>
      <c r="AB7" s="383" t="s">
        <v>63</v>
      </c>
      <c r="AC7" s="379" t="s">
        <v>59</v>
      </c>
      <c r="AE7" s="31"/>
    </row>
    <row r="8" spans="1:41" ht="14.4" customHeight="1" thickBot="1" x14ac:dyDescent="0.35">
      <c r="A8" s="30"/>
      <c r="C8" s="334"/>
      <c r="D8" s="335"/>
      <c r="E8" s="335"/>
      <c r="F8" s="336"/>
      <c r="G8" s="340"/>
      <c r="H8" s="344"/>
      <c r="I8" s="344"/>
      <c r="J8" s="344"/>
      <c r="K8" s="344"/>
      <c r="L8" s="341"/>
      <c r="M8" s="340"/>
      <c r="N8" s="341"/>
      <c r="O8" s="314" t="s">
        <v>9</v>
      </c>
      <c r="P8" s="315"/>
      <c r="Q8" s="187">
        <f>+(Q12-O12)/O12</f>
        <v>0</v>
      </c>
      <c r="R8" s="187">
        <f>+(R12-P12)/P12</f>
        <v>0</v>
      </c>
      <c r="S8" s="322"/>
      <c r="T8" s="322"/>
      <c r="U8" s="323"/>
      <c r="V8" s="321"/>
      <c r="W8" s="322"/>
      <c r="X8" s="323"/>
      <c r="Y8" s="327"/>
      <c r="Z8" s="329"/>
      <c r="AA8" s="313"/>
      <c r="AB8" s="383"/>
      <c r="AC8" s="379"/>
      <c r="AE8" s="31"/>
    </row>
    <row r="9" spans="1:41" ht="14.4" customHeight="1" thickBot="1" x14ac:dyDescent="0.35">
      <c r="A9" s="30"/>
      <c r="C9" s="334"/>
      <c r="D9" s="335"/>
      <c r="E9" s="335"/>
      <c r="F9" s="336"/>
      <c r="G9" s="340"/>
      <c r="H9" s="344"/>
      <c r="I9" s="344"/>
      <c r="J9" s="344"/>
      <c r="K9" s="344"/>
      <c r="L9" s="341"/>
      <c r="M9" s="340"/>
      <c r="N9" s="341"/>
      <c r="O9" s="103"/>
      <c r="P9" s="9"/>
      <c r="Q9" s="316" t="s">
        <v>3</v>
      </c>
      <c r="R9" s="317"/>
      <c r="S9" s="322"/>
      <c r="T9" s="322"/>
      <c r="U9" s="323"/>
      <c r="V9" s="321"/>
      <c r="W9" s="322"/>
      <c r="X9" s="323"/>
      <c r="Y9" s="327"/>
      <c r="Z9" s="329"/>
      <c r="AA9" s="181"/>
      <c r="AB9" s="383"/>
      <c r="AC9" s="379"/>
      <c r="AE9" s="31"/>
    </row>
    <row r="10" spans="1:41" ht="15.6" thickTop="1" thickBot="1" x14ac:dyDescent="0.35">
      <c r="A10" s="30"/>
      <c r="C10" s="337"/>
      <c r="D10" s="338"/>
      <c r="E10" s="338"/>
      <c r="F10" s="339"/>
      <c r="G10" s="342"/>
      <c r="H10" s="345"/>
      <c r="I10" s="345"/>
      <c r="J10" s="345"/>
      <c r="K10" s="345"/>
      <c r="L10" s="343"/>
      <c r="M10" s="342"/>
      <c r="N10" s="343"/>
      <c r="O10" s="103"/>
      <c r="P10" s="9"/>
      <c r="Q10" s="40">
        <v>0</v>
      </c>
      <c r="R10" s="40">
        <v>0</v>
      </c>
      <c r="S10" s="325"/>
      <c r="T10" s="325"/>
      <c r="U10" s="326"/>
      <c r="V10" s="324"/>
      <c r="W10" s="325"/>
      <c r="X10" s="326"/>
      <c r="Y10" s="328"/>
      <c r="Z10" s="330"/>
      <c r="AA10" s="181"/>
      <c r="AB10" s="384"/>
      <c r="AC10" s="380"/>
      <c r="AE10" s="31"/>
    </row>
    <row r="11" spans="1:41" ht="15" thickBot="1" x14ac:dyDescent="0.35">
      <c r="A11" s="30"/>
      <c r="B11" s="291" t="s">
        <v>8</v>
      </c>
      <c r="C11" s="346" t="s">
        <v>20</v>
      </c>
      <c r="D11" s="346" t="s">
        <v>42</v>
      </c>
      <c r="E11" s="346" t="s">
        <v>0</v>
      </c>
      <c r="F11" s="348" t="s">
        <v>2</v>
      </c>
      <c r="G11" s="331"/>
      <c r="H11" s="332"/>
      <c r="I11" s="333"/>
      <c r="J11" s="331" t="s">
        <v>1</v>
      </c>
      <c r="K11" s="332"/>
      <c r="L11" s="333"/>
      <c r="M11" s="376" t="s">
        <v>7</v>
      </c>
      <c r="N11" s="377"/>
      <c r="O11" s="104" t="s">
        <v>5</v>
      </c>
      <c r="P11" s="105" t="s">
        <v>6</v>
      </c>
      <c r="Q11" s="156" t="s">
        <v>5</v>
      </c>
      <c r="R11" s="157" t="s">
        <v>6</v>
      </c>
      <c r="S11" s="104" t="s">
        <v>5</v>
      </c>
      <c r="T11" s="59" t="s">
        <v>6</v>
      </c>
      <c r="U11" s="368" t="s">
        <v>2</v>
      </c>
      <c r="V11" s="104" t="s">
        <v>20</v>
      </c>
      <c r="W11" s="59" t="s">
        <v>19</v>
      </c>
      <c r="X11" s="370" t="s">
        <v>2</v>
      </c>
      <c r="Y11" s="372">
        <v>0.12</v>
      </c>
      <c r="Z11" s="361" t="s">
        <v>67</v>
      </c>
      <c r="AA11" s="441" t="s">
        <v>12</v>
      </c>
      <c r="AB11" s="372">
        <v>0.12</v>
      </c>
      <c r="AC11" s="385" t="s">
        <v>68</v>
      </c>
      <c r="AE11" s="31"/>
    </row>
    <row r="12" spans="1:41" ht="15.6" thickTop="1" thickBot="1" x14ac:dyDescent="0.35">
      <c r="A12" s="30"/>
      <c r="B12" s="292"/>
      <c r="C12" s="347"/>
      <c r="D12" s="347" t="s">
        <v>19</v>
      </c>
      <c r="E12" s="347" t="s">
        <v>0</v>
      </c>
      <c r="F12" s="349" t="s">
        <v>2</v>
      </c>
      <c r="G12" s="144" t="s">
        <v>16</v>
      </c>
      <c r="H12" s="145" t="s">
        <v>44</v>
      </c>
      <c r="I12" s="168" t="s">
        <v>45</v>
      </c>
      <c r="J12" s="144" t="s">
        <v>16</v>
      </c>
      <c r="K12" s="145" t="s">
        <v>44</v>
      </c>
      <c r="L12" s="168" t="s">
        <v>45</v>
      </c>
      <c r="M12" s="154" t="s">
        <v>5</v>
      </c>
      <c r="N12" s="155" t="s">
        <v>1</v>
      </c>
      <c r="O12" s="106">
        <v>0.184</v>
      </c>
      <c r="P12" s="107">
        <v>0.24399999999999999</v>
      </c>
      <c r="Q12" s="158">
        <f>+O12+Q10</f>
        <v>0.184</v>
      </c>
      <c r="R12" s="158">
        <f>+P12+R10</f>
        <v>0.24399999999999999</v>
      </c>
      <c r="S12" s="38">
        <f t="shared" ref="S12:T16" si="0">+Q12-O12</f>
        <v>0</v>
      </c>
      <c r="T12" s="19">
        <f t="shared" si="0"/>
        <v>0</v>
      </c>
      <c r="U12" s="369"/>
      <c r="V12" s="140">
        <v>0</v>
      </c>
      <c r="W12" s="45">
        <v>0</v>
      </c>
      <c r="X12" s="371"/>
      <c r="Y12" s="373"/>
      <c r="Z12" s="362"/>
      <c r="AA12" s="442"/>
      <c r="AB12" s="373"/>
      <c r="AC12" s="386"/>
      <c r="AE12" s="31"/>
    </row>
    <row r="13" spans="1:41" ht="15.6" thickTop="1" thickBot="1" x14ac:dyDescent="0.35">
      <c r="A13" s="30"/>
      <c r="B13" s="39">
        <v>2020</v>
      </c>
      <c r="C13" s="108">
        <v>1.0181370000000001</v>
      </c>
      <c r="D13" s="109">
        <v>4.8136999999999999</v>
      </c>
      <c r="E13" s="109">
        <v>231.9922</v>
      </c>
      <c r="F13" s="128">
        <f>SUM(C13:E13)</f>
        <v>237.824037</v>
      </c>
      <c r="G13" s="123">
        <f>+M13*H13</f>
        <v>3524375</v>
      </c>
      <c r="H13" s="124">
        <v>25</v>
      </c>
      <c r="I13" s="125">
        <f>+G13/E13</f>
        <v>15191.78230992249</v>
      </c>
      <c r="J13" s="122">
        <f>+N13*K13</f>
        <v>254730</v>
      </c>
      <c r="K13" s="130">
        <v>6</v>
      </c>
      <c r="L13" s="135">
        <v>120000</v>
      </c>
      <c r="M13" s="110">
        <v>140975</v>
      </c>
      <c r="N13" s="111">
        <v>42455</v>
      </c>
      <c r="O13" s="112">
        <f>+$M13*O$12</f>
        <v>25939.399999999998</v>
      </c>
      <c r="P13" s="113">
        <f>+$N13*P$12</f>
        <v>10359.02</v>
      </c>
      <c r="Q13" s="12">
        <f>+$M13*Q$12</f>
        <v>25939.399999999998</v>
      </c>
      <c r="R13" s="13">
        <f>+$N13*R$12</f>
        <v>10359.02</v>
      </c>
      <c r="S13" s="17">
        <f t="shared" si="0"/>
        <v>0</v>
      </c>
      <c r="T13" s="4">
        <f t="shared" si="0"/>
        <v>0</v>
      </c>
      <c r="U13" s="7">
        <f>+S13+T13</f>
        <v>0</v>
      </c>
      <c r="V13" s="17">
        <f t="shared" ref="V13:W17" si="1">V$12*C13</f>
        <v>0</v>
      </c>
      <c r="W13" s="3">
        <f t="shared" si="1"/>
        <v>0</v>
      </c>
      <c r="X13" s="114">
        <f>+V13+W13</f>
        <v>0</v>
      </c>
      <c r="Y13" s="169">
        <v>6900</v>
      </c>
      <c r="Z13" s="177">
        <f>+Q13+R13+V13+W13+Y13</f>
        <v>43198.42</v>
      </c>
      <c r="AA13" s="115">
        <f>+U13+X13+Y13</f>
        <v>6900</v>
      </c>
      <c r="AB13" s="138">
        <v>0</v>
      </c>
      <c r="AC13" s="178">
        <f>+Z13+AB13</f>
        <v>43198.42</v>
      </c>
      <c r="AE13" s="31"/>
      <c r="AG13" s="433" t="s">
        <v>91</v>
      </c>
      <c r="AH13" s="434"/>
      <c r="AI13" s="434"/>
      <c r="AJ13" s="434"/>
      <c r="AK13" s="434"/>
      <c r="AL13" s="434"/>
      <c r="AM13" s="434"/>
      <c r="AN13" s="434"/>
      <c r="AO13" s="435"/>
    </row>
    <row r="14" spans="1:41" ht="15" thickBot="1" x14ac:dyDescent="0.35">
      <c r="A14" s="30"/>
      <c r="B14" s="28">
        <v>2021</v>
      </c>
      <c r="C14" s="41">
        <v>1.4543999999999999</v>
      </c>
      <c r="D14" s="42">
        <v>5.4917999999999996</v>
      </c>
      <c r="E14" s="42">
        <v>240.6995</v>
      </c>
      <c r="F14" s="126">
        <f t="shared" ref="F14:F17" si="2">SUM(C14:E14)</f>
        <v>247.64570000000001</v>
      </c>
      <c r="G14" s="129">
        <f>+M14*H14</f>
        <v>3524375</v>
      </c>
      <c r="H14" s="130">
        <v>25</v>
      </c>
      <c r="I14" s="131">
        <f t="shared" ref="I14:I17" si="3">+G14/E14</f>
        <v>14642.219863356591</v>
      </c>
      <c r="J14" s="141">
        <f t="shared" ref="J14:J17" si="4">+N14*K14</f>
        <v>273594</v>
      </c>
      <c r="K14" s="130">
        <v>6</v>
      </c>
      <c r="L14" s="135">
        <v>120000</v>
      </c>
      <c r="M14" s="2">
        <v>140975</v>
      </c>
      <c r="N14" s="11">
        <v>45599</v>
      </c>
      <c r="O14" s="12">
        <f>+$M14*O$12</f>
        <v>25939.399999999998</v>
      </c>
      <c r="P14" s="13">
        <f>+$N14*P$12</f>
        <v>11126.155999999999</v>
      </c>
      <c r="Q14" s="12">
        <f>+$M14*Q$12</f>
        <v>25939.399999999998</v>
      </c>
      <c r="R14" s="13">
        <f>+$N14*R$12</f>
        <v>11126.155999999999</v>
      </c>
      <c r="S14" s="17">
        <f t="shared" si="0"/>
        <v>0</v>
      </c>
      <c r="T14" s="4">
        <f t="shared" si="0"/>
        <v>0</v>
      </c>
      <c r="U14" s="7">
        <f>+S14+T14</f>
        <v>0</v>
      </c>
      <c r="V14" s="17">
        <f t="shared" si="1"/>
        <v>0</v>
      </c>
      <c r="W14" s="3">
        <f t="shared" si="1"/>
        <v>0</v>
      </c>
      <c r="X14" s="36">
        <f>+V14+W14</f>
        <v>0</v>
      </c>
      <c r="Y14" s="170">
        <f>+Y13</f>
        <v>6900</v>
      </c>
      <c r="Z14" s="164">
        <f t="shared" ref="Z14:Z17" si="5">+Q14+R14+V14+W14+Y14</f>
        <v>43965.555999999997</v>
      </c>
      <c r="AA14" s="16">
        <f>+U14+X14+Y14</f>
        <v>6900</v>
      </c>
      <c r="AB14" s="139">
        <f>+AB13</f>
        <v>0</v>
      </c>
      <c r="AC14" s="179">
        <f t="shared" ref="AC14:AC17" si="6">+Z14+AB14</f>
        <v>43965.555999999997</v>
      </c>
      <c r="AE14" s="31"/>
      <c r="AG14" s="443" t="s">
        <v>86</v>
      </c>
      <c r="AH14" s="390" t="s">
        <v>21</v>
      </c>
      <c r="AI14" s="93" t="s">
        <v>20</v>
      </c>
      <c r="AJ14" s="75"/>
      <c r="AK14" s="74" t="s">
        <v>19</v>
      </c>
      <c r="AL14" s="75"/>
      <c r="AM14" s="75" t="s">
        <v>0</v>
      </c>
      <c r="AN14" s="75"/>
      <c r="AO14" s="288" t="s">
        <v>2</v>
      </c>
    </row>
    <row r="15" spans="1:41" ht="15.6" thickTop="1" thickBot="1" x14ac:dyDescent="0.35">
      <c r="A15" s="30"/>
      <c r="B15" s="28">
        <v>2022</v>
      </c>
      <c r="C15" s="41">
        <v>2.4422999999999999</v>
      </c>
      <c r="D15" s="42">
        <v>6.2918000000000003</v>
      </c>
      <c r="E15" s="42">
        <v>241.37289999999999</v>
      </c>
      <c r="F15" s="126">
        <f t="shared" si="2"/>
        <v>250.107</v>
      </c>
      <c r="G15" s="129">
        <f>+M15*H15</f>
        <v>3509575</v>
      </c>
      <c r="H15" s="130">
        <v>25</v>
      </c>
      <c r="I15" s="131">
        <f t="shared" si="3"/>
        <v>14540.053999434071</v>
      </c>
      <c r="J15" s="141">
        <f t="shared" si="4"/>
        <v>272664</v>
      </c>
      <c r="K15" s="130">
        <v>6</v>
      </c>
      <c r="L15" s="135">
        <v>120000</v>
      </c>
      <c r="M15" s="2">
        <v>140383</v>
      </c>
      <c r="N15" s="11">
        <v>45444</v>
      </c>
      <c r="O15" s="12">
        <f>+$M15*O$12</f>
        <v>25830.471999999998</v>
      </c>
      <c r="P15" s="13">
        <f>+$N15*P$12</f>
        <v>11088.335999999999</v>
      </c>
      <c r="Q15" s="12">
        <f>+$M15*Q$12</f>
        <v>25830.471999999998</v>
      </c>
      <c r="R15" s="13">
        <f>+$N15*R$12</f>
        <v>11088.335999999999</v>
      </c>
      <c r="S15" s="17">
        <f t="shared" si="0"/>
        <v>0</v>
      </c>
      <c r="T15" s="4">
        <f t="shared" si="0"/>
        <v>0</v>
      </c>
      <c r="U15" s="7">
        <f>+S15+T15</f>
        <v>0</v>
      </c>
      <c r="V15" s="17">
        <f t="shared" si="1"/>
        <v>0</v>
      </c>
      <c r="W15" s="3">
        <f t="shared" si="1"/>
        <v>0</v>
      </c>
      <c r="X15" s="36">
        <f>+V15+W15</f>
        <v>0</v>
      </c>
      <c r="Y15" s="170">
        <f>+Y14</f>
        <v>6900</v>
      </c>
      <c r="Z15" s="164">
        <f t="shared" si="5"/>
        <v>43818.807999999997</v>
      </c>
      <c r="AA15" s="16">
        <f>+U15+X15+Y15</f>
        <v>6900</v>
      </c>
      <c r="AB15" s="139">
        <f>+AB14</f>
        <v>0</v>
      </c>
      <c r="AC15" s="179">
        <f t="shared" si="6"/>
        <v>43818.807999999997</v>
      </c>
      <c r="AE15" s="31"/>
      <c r="AG15" s="443"/>
      <c r="AH15" s="440"/>
      <c r="AI15" s="289">
        <f>+V12</f>
        <v>0</v>
      </c>
      <c r="AJ15" s="71" t="s">
        <v>33</v>
      </c>
      <c r="AK15" s="45">
        <f>+W12</f>
        <v>0</v>
      </c>
      <c r="AL15" s="76" t="s">
        <v>33</v>
      </c>
      <c r="AM15" s="77" t="s">
        <v>32</v>
      </c>
      <c r="AN15" s="72" t="s">
        <v>33</v>
      </c>
      <c r="AO15" s="248"/>
    </row>
    <row r="16" spans="1:41" ht="15" thickTop="1" x14ac:dyDescent="0.3">
      <c r="A16" s="30"/>
      <c r="B16" s="28">
        <v>2023</v>
      </c>
      <c r="C16" s="41">
        <v>3.5558999999999998</v>
      </c>
      <c r="D16" s="42">
        <v>7.3922999999999996</v>
      </c>
      <c r="E16" s="42">
        <v>242.87029999999999</v>
      </c>
      <c r="F16" s="126">
        <f t="shared" si="2"/>
        <v>253.81849999999997</v>
      </c>
      <c r="G16" s="129">
        <f>+M16*H16</f>
        <v>3564975</v>
      </c>
      <c r="H16" s="130">
        <v>25</v>
      </c>
      <c r="I16" s="131">
        <f t="shared" si="3"/>
        <v>14678.513593469437</v>
      </c>
      <c r="J16" s="141">
        <f t="shared" si="4"/>
        <v>271830</v>
      </c>
      <c r="K16" s="130">
        <v>6</v>
      </c>
      <c r="L16" s="135">
        <v>120000</v>
      </c>
      <c r="M16" s="2">
        <v>142599</v>
      </c>
      <c r="N16" s="11">
        <v>45305</v>
      </c>
      <c r="O16" s="12">
        <f>+$M16*O$12</f>
        <v>26238.216</v>
      </c>
      <c r="P16" s="13">
        <f>+$N16*P$12</f>
        <v>11054.42</v>
      </c>
      <c r="Q16" s="12">
        <f>+$M16*Q$12</f>
        <v>26238.216</v>
      </c>
      <c r="R16" s="13">
        <f>+$N16*R$12</f>
        <v>11054.42</v>
      </c>
      <c r="S16" s="17">
        <f t="shared" si="0"/>
        <v>0</v>
      </c>
      <c r="T16" s="4">
        <f t="shared" si="0"/>
        <v>0</v>
      </c>
      <c r="U16" s="36">
        <f t="shared" ref="U16" si="7">+S16+T16</f>
        <v>0</v>
      </c>
      <c r="V16" s="17">
        <f t="shared" si="1"/>
        <v>0</v>
      </c>
      <c r="W16" s="3">
        <f t="shared" si="1"/>
        <v>0</v>
      </c>
      <c r="X16" s="36">
        <f>+V16+W16</f>
        <v>0</v>
      </c>
      <c r="Y16" s="170">
        <f>+Y15</f>
        <v>6900</v>
      </c>
      <c r="Z16" s="164">
        <f t="shared" si="5"/>
        <v>44192.635999999999</v>
      </c>
      <c r="AA16" s="16">
        <f>+U16+X16+Y16</f>
        <v>6900</v>
      </c>
      <c r="AB16" s="139">
        <f>+AB15</f>
        <v>0</v>
      </c>
      <c r="AC16" s="179">
        <f t="shared" si="6"/>
        <v>44192.635999999999</v>
      </c>
      <c r="AE16" s="31"/>
      <c r="AG16" s="444"/>
      <c r="AH16" s="266" t="s">
        <v>40</v>
      </c>
      <c r="AI16" s="425" t="s">
        <v>87</v>
      </c>
      <c r="AJ16" s="426"/>
      <c r="AK16" s="426"/>
      <c r="AL16" s="426"/>
      <c r="AM16" s="426"/>
      <c r="AN16" s="426"/>
      <c r="AO16" s="427"/>
    </row>
    <row r="17" spans="1:41" ht="15" customHeight="1" thickBot="1" x14ac:dyDescent="0.35">
      <c r="A17" s="30"/>
      <c r="B17" s="29">
        <v>2024</v>
      </c>
      <c r="C17" s="43">
        <v>4.0999999999999996</v>
      </c>
      <c r="D17" s="44">
        <f>+D16+(D16*0.18)</f>
        <v>8.7229139999999994</v>
      </c>
      <c r="E17" s="44">
        <f>+E16+(E16*0.01)</f>
        <v>245.299003</v>
      </c>
      <c r="F17" s="127">
        <f t="shared" si="2"/>
        <v>258.121917</v>
      </c>
      <c r="G17" s="132">
        <f>+M17*H17</f>
        <v>3561100</v>
      </c>
      <c r="H17" s="133">
        <v>25</v>
      </c>
      <c r="I17" s="134">
        <f t="shared" si="3"/>
        <v>14517.384728220848</v>
      </c>
      <c r="J17" s="142">
        <f t="shared" si="4"/>
        <v>275196</v>
      </c>
      <c r="K17" s="133">
        <v>6</v>
      </c>
      <c r="L17" s="143">
        <v>120000</v>
      </c>
      <c r="M17" s="268">
        <v>142444</v>
      </c>
      <c r="N17" s="287">
        <v>45866</v>
      </c>
      <c r="O17" s="14">
        <f>+$M17*O$12</f>
        <v>26209.696</v>
      </c>
      <c r="P17" s="15">
        <f>+$N17*P$12</f>
        <v>11191.304</v>
      </c>
      <c r="Q17" s="14">
        <f>+$M17*Q$12</f>
        <v>26209.696</v>
      </c>
      <c r="R17" s="15">
        <f>+$N17*R$12</f>
        <v>11191.304</v>
      </c>
      <c r="S17" s="246">
        <f>+Q17-O17</f>
        <v>0</v>
      </c>
      <c r="T17" s="20">
        <f>+R17-P17</f>
        <v>0</v>
      </c>
      <c r="U17" s="245">
        <f>+S17+T17</f>
        <v>0</v>
      </c>
      <c r="V17" s="18">
        <f t="shared" si="1"/>
        <v>0</v>
      </c>
      <c r="W17" s="3">
        <f t="shared" si="1"/>
        <v>0</v>
      </c>
      <c r="X17" s="36">
        <f>+V17+W17</f>
        <v>0</v>
      </c>
      <c r="Y17" s="170">
        <f>+Y16</f>
        <v>6900</v>
      </c>
      <c r="Z17" s="164">
        <f t="shared" si="5"/>
        <v>44301</v>
      </c>
      <c r="AA17" s="16">
        <f>+U17+X17+Y17</f>
        <v>6900</v>
      </c>
      <c r="AB17" s="139">
        <f>+AB16</f>
        <v>0</v>
      </c>
      <c r="AC17" s="179">
        <f t="shared" si="6"/>
        <v>44301</v>
      </c>
      <c r="AE17" s="31"/>
      <c r="AG17" s="436">
        <v>2024</v>
      </c>
      <c r="AH17" s="267">
        <v>0.95</v>
      </c>
      <c r="AI17" s="428" t="s">
        <v>88</v>
      </c>
      <c r="AJ17" s="429"/>
      <c r="AK17" s="429"/>
      <c r="AL17" s="429"/>
      <c r="AM17" s="429"/>
      <c r="AN17" s="429"/>
      <c r="AO17" s="430"/>
    </row>
    <row r="18" spans="1:41" ht="15" customHeight="1" thickBot="1" x14ac:dyDescent="0.35">
      <c r="A18" s="30"/>
      <c r="B18" s="117"/>
      <c r="C18" s="118"/>
      <c r="D18" s="119"/>
      <c r="E18" s="119"/>
      <c r="F18" s="119"/>
      <c r="G18" s="119"/>
      <c r="H18" s="119"/>
      <c r="I18" s="119"/>
      <c r="J18" s="119"/>
      <c r="K18" s="119"/>
      <c r="L18" s="119"/>
      <c r="M18" s="185">
        <f>SUM(M13:M17)</f>
        <v>707376</v>
      </c>
      <c r="N18" s="186">
        <f>SUM(N13:N17)</f>
        <v>224669</v>
      </c>
      <c r="O18" s="12"/>
      <c r="P18" s="6"/>
      <c r="Q18" s="161"/>
      <c r="R18" s="161"/>
      <c r="S18" s="162"/>
      <c r="T18" s="8"/>
      <c r="U18" s="8"/>
      <c r="V18" s="8"/>
      <c r="W18" s="176" t="s">
        <v>66</v>
      </c>
      <c r="X18" s="78"/>
      <c r="Y18" s="182"/>
      <c r="Z18" s="183">
        <f>SUM(Z13:Z17)</f>
        <v>219476.41999999998</v>
      </c>
      <c r="AA18" s="79"/>
      <c r="AB18" s="171"/>
      <c r="AC18" s="184">
        <f>SUM(AC13:AC17)</f>
        <v>219476.41999999998</v>
      </c>
      <c r="AE18" s="31"/>
      <c r="AG18" s="437"/>
      <c r="AH18" s="265"/>
      <c r="AI18" s="264">
        <f>+C17</f>
        <v>4.0999999999999996</v>
      </c>
      <c r="AJ18" s="100">
        <f>+AI18/AO18</f>
        <v>1.5883966955041635E-2</v>
      </c>
      <c r="AK18" s="102">
        <f>+D17</f>
        <v>8.7229139999999994</v>
      </c>
      <c r="AL18" s="100">
        <f>+AK18/AO18</f>
        <v>3.3793775055529281E-2</v>
      </c>
      <c r="AM18" s="102">
        <f>+E17</f>
        <v>245.299003</v>
      </c>
      <c r="AN18" s="100">
        <f>+AM18/AO18</f>
        <v>0.95032225798942904</v>
      </c>
      <c r="AO18" s="249">
        <f>+AI18+AK18+AM18</f>
        <v>258.121917</v>
      </c>
    </row>
    <row r="19" spans="1:41" ht="15" customHeight="1" thickBot="1" x14ac:dyDescent="0.35">
      <c r="A19" s="30"/>
      <c r="B19" s="103"/>
      <c r="C19" s="41"/>
      <c r="D19" s="116"/>
      <c r="E19" s="116"/>
      <c r="F19" s="116"/>
      <c r="G19" s="116"/>
      <c r="H19" s="116"/>
      <c r="I19" s="116"/>
      <c r="J19" s="116"/>
      <c r="K19" s="116"/>
      <c r="L19" s="116"/>
      <c r="M19" s="70"/>
      <c r="N19" s="70"/>
      <c r="O19" s="12"/>
      <c r="P19" s="6"/>
      <c r="Q19" s="10"/>
      <c r="R19" s="10"/>
      <c r="S19" s="139"/>
      <c r="T19" s="4"/>
      <c r="U19" s="4"/>
      <c r="V19" s="4"/>
      <c r="W19" s="4"/>
      <c r="X19" s="4"/>
      <c r="Y19" s="4"/>
      <c r="Z19" s="166">
        <f>AVERAGE(Z13:Z17)</f>
        <v>43895.284</v>
      </c>
      <c r="AA19" s="16"/>
      <c r="AC19" s="180">
        <f>AVERAGE(AC13:AC17)</f>
        <v>43895.284</v>
      </c>
      <c r="AE19" s="31"/>
      <c r="AG19" s="423" t="s">
        <v>22</v>
      </c>
      <c r="AH19" s="68">
        <v>4.4999999999999998E-2</v>
      </c>
      <c r="AI19" s="65">
        <f>-AM19*AH$17</f>
        <v>10.486532378249999</v>
      </c>
      <c r="AJ19" s="67"/>
      <c r="AK19" s="65">
        <f>-AM19*(1-AH$17)</f>
        <v>0.55192275675000046</v>
      </c>
      <c r="AL19" s="63"/>
      <c r="AM19" s="66">
        <f>-AM18*AH19</f>
        <v>-11.038455135</v>
      </c>
      <c r="AN19" s="64"/>
      <c r="AO19" s="250">
        <f>SUM(AI19:AM19)</f>
        <v>0</v>
      </c>
    </row>
    <row r="20" spans="1:41" ht="15" customHeight="1" thickBot="1" x14ac:dyDescent="0.35">
      <c r="A20" s="30"/>
      <c r="B20" s="103"/>
      <c r="C20" s="41"/>
      <c r="D20" s="116"/>
      <c r="E20" s="116"/>
      <c r="F20" s="116"/>
      <c r="G20" s="116"/>
      <c r="H20" s="116"/>
      <c r="I20" s="116"/>
      <c r="J20" s="116"/>
      <c r="K20" s="116"/>
      <c r="L20" s="116"/>
      <c r="M20" s="70"/>
      <c r="N20" s="70"/>
      <c r="O20" s="12"/>
      <c r="P20" s="6"/>
      <c r="Q20" s="10"/>
      <c r="R20" s="10"/>
      <c r="S20" s="139"/>
      <c r="T20" s="4"/>
      <c r="U20" s="4"/>
      <c r="V20" s="4"/>
      <c r="W20" s="4"/>
      <c r="X20" s="4"/>
      <c r="Y20" s="4"/>
      <c r="Z20" s="174"/>
      <c r="AA20" s="16"/>
      <c r="AC20" s="174"/>
      <c r="AE20" s="31"/>
      <c r="AG20" s="424"/>
      <c r="AH20" s="97"/>
      <c r="AI20" s="94">
        <f>+AI18+AI19</f>
        <v>14.586532378249998</v>
      </c>
      <c r="AJ20" s="95">
        <f>+AI20/AO20</f>
        <v>5.6510243484089721E-2</v>
      </c>
      <c r="AK20" s="94">
        <f>+AK18+AK19</f>
        <v>9.2748367567500001</v>
      </c>
      <c r="AL20" s="95">
        <f>+AK20/AO20</f>
        <v>3.5932000136005497E-2</v>
      </c>
      <c r="AM20" s="94">
        <f>+AM18+AM19</f>
        <v>234.26054786500001</v>
      </c>
      <c r="AN20" s="96">
        <f>+AM20/AO20</f>
        <v>0.90755775637990477</v>
      </c>
      <c r="AO20" s="251">
        <f>+AO18+AO19</f>
        <v>258.121917</v>
      </c>
    </row>
    <row r="21" spans="1:41" ht="15.6" thickTop="1" thickBot="1" x14ac:dyDescent="0.35">
      <c r="A21" s="30"/>
      <c r="B21" s="103"/>
      <c r="C21" s="41"/>
      <c r="D21" s="116"/>
      <c r="E21" s="116"/>
      <c r="F21" s="116"/>
      <c r="G21" s="116"/>
      <c r="H21" s="116"/>
      <c r="I21" s="116"/>
      <c r="J21" s="116"/>
      <c r="K21" s="116"/>
      <c r="L21" s="116"/>
      <c r="M21" s="70"/>
      <c r="N21" s="70"/>
      <c r="O21" s="12"/>
      <c r="P21" s="6"/>
      <c r="Q21" s="10"/>
      <c r="R21" s="10"/>
      <c r="S21" s="139"/>
      <c r="T21" s="4"/>
      <c r="U21" s="4"/>
      <c r="V21" s="4"/>
      <c r="W21" s="4"/>
      <c r="X21" s="4"/>
      <c r="Y21" s="4"/>
      <c r="Z21" s="163"/>
      <c r="AA21" s="4"/>
      <c r="AB21" s="318" t="s">
        <v>65</v>
      </c>
      <c r="AD21" s="318" t="s">
        <v>74</v>
      </c>
      <c r="AE21" s="31"/>
      <c r="AG21" s="423" t="s">
        <v>23</v>
      </c>
      <c r="AH21" s="69">
        <f>+AH19</f>
        <v>4.4999999999999998E-2</v>
      </c>
      <c r="AI21" s="62">
        <f>-AM21*AH$17</f>
        <v>10.014638421228749</v>
      </c>
      <c r="AJ21" s="62"/>
      <c r="AK21" s="62">
        <f>-AM21*(1-AH$17)</f>
        <v>0.52708623269625043</v>
      </c>
      <c r="AL21" s="62"/>
      <c r="AM21" s="64">
        <f>-(+AM18+AM19)*AH21</f>
        <v>-10.541724653925</v>
      </c>
      <c r="AN21" s="64"/>
      <c r="AO21" s="252"/>
    </row>
    <row r="22" spans="1:41" x14ac:dyDescent="0.3">
      <c r="A22" s="30"/>
      <c r="B22" s="293" t="s">
        <v>76</v>
      </c>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5"/>
      <c r="AA22" s="4"/>
      <c r="AB22" s="319"/>
      <c r="AD22" s="319"/>
      <c r="AE22" s="31"/>
      <c r="AG22" s="424"/>
      <c r="AH22" s="98"/>
      <c r="AI22" s="99">
        <f>+AI20+AI21</f>
        <v>24.601170799478748</v>
      </c>
      <c r="AJ22" s="100">
        <f>+AI22/AO22</f>
        <v>9.5308337569330645E-2</v>
      </c>
      <c r="AK22" s="99">
        <f>+AK20+AK21</f>
        <v>9.8019229894462505</v>
      </c>
      <c r="AL22" s="100">
        <f>+AK22/AO22</f>
        <v>3.7974005087860287E-2</v>
      </c>
      <c r="AM22" s="99">
        <f>+AM20+AM21</f>
        <v>223.71882321107501</v>
      </c>
      <c r="AN22" s="100">
        <f>+AM22/AO22</f>
        <v>0.86671765734280903</v>
      </c>
      <c r="AO22" s="249">
        <f>+AO20+AO21</f>
        <v>258.121917</v>
      </c>
    </row>
    <row r="23" spans="1:41" ht="15" customHeight="1" thickBot="1" x14ac:dyDescent="0.35">
      <c r="A23" s="30"/>
      <c r="B23" s="296"/>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8"/>
      <c r="AA23" s="4"/>
      <c r="AB23" s="319"/>
      <c r="AD23" s="319"/>
      <c r="AE23" s="31"/>
      <c r="AG23" s="423" t="s">
        <v>24</v>
      </c>
      <c r="AH23" s="69">
        <f>+AH21</f>
        <v>4.4999999999999998E-2</v>
      </c>
      <c r="AI23" s="65">
        <f>-AM23*AH$17</f>
        <v>9.5639796922734561</v>
      </c>
      <c r="AJ23" s="62"/>
      <c r="AK23" s="65">
        <f>-AM23*(1-AH$17)</f>
        <v>0.50336735222491913</v>
      </c>
      <c r="AL23" s="62"/>
      <c r="AM23" s="64">
        <f>-(+AM18+AM19+AM21)*AH23</f>
        <v>-10.067347044498375</v>
      </c>
      <c r="AN23" s="64"/>
      <c r="AO23" s="252"/>
    </row>
    <row r="24" spans="1:41" ht="15.6" thickTop="1" thickBot="1" x14ac:dyDescent="0.35">
      <c r="A24" s="30"/>
      <c r="B24" s="291" t="s">
        <v>8</v>
      </c>
      <c r="C24" s="350" t="s">
        <v>20</v>
      </c>
      <c r="D24" s="350" t="s">
        <v>42</v>
      </c>
      <c r="E24" s="224" t="s">
        <v>0</v>
      </c>
      <c r="F24" s="202" t="s">
        <v>2</v>
      </c>
      <c r="G24" s="331" t="s">
        <v>5</v>
      </c>
      <c r="H24" s="332"/>
      <c r="I24" s="333"/>
      <c r="J24" s="331" t="s">
        <v>1</v>
      </c>
      <c r="K24" s="332"/>
      <c r="L24" s="333"/>
      <c r="M24" s="331" t="s">
        <v>7</v>
      </c>
      <c r="N24" s="333"/>
      <c r="O24" s="150"/>
      <c r="P24" s="151"/>
      <c r="Q24" s="331" t="s">
        <v>69</v>
      </c>
      <c r="R24" s="333"/>
      <c r="S24" s="273"/>
      <c r="T24" s="274"/>
      <c r="U24" s="275"/>
      <c r="V24" s="331" t="s">
        <v>69</v>
      </c>
      <c r="W24" s="363"/>
      <c r="X24" s="374" t="s">
        <v>70</v>
      </c>
      <c r="Y24" s="364" t="s">
        <v>11</v>
      </c>
      <c r="Z24" s="366" t="s">
        <v>58</v>
      </c>
      <c r="AA24" s="8"/>
      <c r="AB24" s="378"/>
      <c r="AC24" s="381" t="s">
        <v>73</v>
      </c>
      <c r="AD24" s="319"/>
      <c r="AE24" s="31"/>
      <c r="AG24" s="424"/>
      <c r="AH24" s="98"/>
      <c r="AI24" s="99">
        <f>+AI22+AI23</f>
        <v>34.1651504917522</v>
      </c>
      <c r="AJ24" s="100">
        <f>+AI24/AO24</f>
        <v>0.13236051742073573</v>
      </c>
      <c r="AK24" s="99">
        <f>+AK22+AK23</f>
        <v>10.305290341671169</v>
      </c>
      <c r="AL24" s="100">
        <f>+AK24/AO24</f>
        <v>3.9924119816881605E-2</v>
      </c>
      <c r="AM24" s="99">
        <f>+AM22+AM23</f>
        <v>213.65147616657663</v>
      </c>
      <c r="AN24" s="100">
        <f>+AM24/AO24</f>
        <v>0.82771536276238267</v>
      </c>
      <c r="AO24" s="249">
        <f>+AO22+AO23</f>
        <v>258.121917</v>
      </c>
    </row>
    <row r="25" spans="1:41" ht="15.6" thickTop="1" thickBot="1" x14ac:dyDescent="0.35">
      <c r="A25" s="30"/>
      <c r="B25" s="292"/>
      <c r="C25" s="351"/>
      <c r="D25" s="351" t="s">
        <v>19</v>
      </c>
      <c r="E25" s="225" t="s">
        <v>0</v>
      </c>
      <c r="F25" s="121" t="s">
        <v>2</v>
      </c>
      <c r="G25" s="144" t="s">
        <v>16</v>
      </c>
      <c r="H25" s="145" t="s">
        <v>44</v>
      </c>
      <c r="I25" s="146" t="s">
        <v>45</v>
      </c>
      <c r="J25" s="221" t="s">
        <v>16</v>
      </c>
      <c r="K25" s="120" t="s">
        <v>44</v>
      </c>
      <c r="L25" s="121" t="s">
        <v>45</v>
      </c>
      <c r="M25" s="147" t="s">
        <v>5</v>
      </c>
      <c r="N25" s="149" t="s">
        <v>1</v>
      </c>
      <c r="O25" s="12"/>
      <c r="P25" s="13"/>
      <c r="Q25" s="148" t="s">
        <v>5</v>
      </c>
      <c r="R25" s="149" t="s">
        <v>1</v>
      </c>
      <c r="S25" s="276"/>
      <c r="T25" s="277"/>
      <c r="U25" s="278"/>
      <c r="V25" s="147" t="s">
        <v>20</v>
      </c>
      <c r="W25" s="159" t="s">
        <v>42</v>
      </c>
      <c r="X25" s="375"/>
      <c r="Y25" s="365"/>
      <c r="Z25" s="367"/>
      <c r="AA25" s="4"/>
      <c r="AB25" s="196">
        <v>0</v>
      </c>
      <c r="AC25" s="382"/>
      <c r="AD25" s="320"/>
      <c r="AE25" s="31"/>
      <c r="AG25" s="423" t="s">
        <v>25</v>
      </c>
      <c r="AH25" s="69">
        <f>+AH23</f>
        <v>4.4999999999999998E-2</v>
      </c>
      <c r="AI25" s="65">
        <f>-AM25*AH$17</f>
        <v>9.133600606121151</v>
      </c>
      <c r="AJ25" s="62"/>
      <c r="AK25" s="65">
        <f>-AM25*(1-AH$17)</f>
        <v>0.48071582137479785</v>
      </c>
      <c r="AL25" s="62"/>
      <c r="AM25" s="64">
        <f>-(+AM18+AM19+AM21+AM23)*AH25</f>
        <v>-9.6143164274959485</v>
      </c>
      <c r="AN25" s="64"/>
      <c r="AO25" s="252"/>
    </row>
    <row r="26" spans="1:41" ht="15" customHeight="1" x14ac:dyDescent="0.3">
      <c r="A26" s="30"/>
      <c r="B26" s="28" t="s">
        <v>47</v>
      </c>
      <c r="C26" s="226">
        <f>+AI20</f>
        <v>14.586532378249998</v>
      </c>
      <c r="D26" s="226">
        <f>+AK20</f>
        <v>9.2748367567500001</v>
      </c>
      <c r="E26" s="226">
        <f>+AM20</f>
        <v>234.26054786500001</v>
      </c>
      <c r="F26" s="126">
        <f>SUM(C26:E26)</f>
        <v>258.121917</v>
      </c>
      <c r="G26" s="222">
        <f>+E26*I26</f>
        <v>3513908.2179749999</v>
      </c>
      <c r="H26" s="136">
        <v>25</v>
      </c>
      <c r="I26" s="135">
        <v>15000</v>
      </c>
      <c r="J26" s="352" t="s">
        <v>57</v>
      </c>
      <c r="K26" s="353"/>
      <c r="L26" s="354"/>
      <c r="M26" s="269">
        <f>+G26/H26</f>
        <v>140556.32871899998</v>
      </c>
      <c r="N26" s="286">
        <v>46000</v>
      </c>
      <c r="O26" s="12"/>
      <c r="P26" s="13"/>
      <c r="Q26" s="12">
        <f t="shared" ref="Q26:R35" si="8">+M26*Q$12</f>
        <v>25862.364484295995</v>
      </c>
      <c r="R26" s="13">
        <f t="shared" si="8"/>
        <v>11224</v>
      </c>
      <c r="S26" s="276"/>
      <c r="T26" s="277"/>
      <c r="U26" s="278"/>
      <c r="V26" s="17">
        <f t="shared" ref="V26:W35" si="9">V$12*C26</f>
        <v>0</v>
      </c>
      <c r="W26" s="3">
        <f t="shared" si="9"/>
        <v>0</v>
      </c>
      <c r="X26" s="36">
        <f>+V26+W26</f>
        <v>0</v>
      </c>
      <c r="Y26" s="198">
        <v>0</v>
      </c>
      <c r="Z26" s="197">
        <f>+Q26+R26+V26+W26+Y26</f>
        <v>37086.364484295991</v>
      </c>
      <c r="AA26" s="8"/>
      <c r="AB26" s="160">
        <f>IF(AB25=0,0,Z26*(1+AB25))</f>
        <v>0</v>
      </c>
      <c r="AC26" s="167" t="e">
        <f>+#REF!</f>
        <v>#REF!</v>
      </c>
      <c r="AD26" s="160" t="e">
        <f>+AB26-AC26</f>
        <v>#REF!</v>
      </c>
      <c r="AE26" s="31"/>
      <c r="AG26" s="424"/>
      <c r="AH26" s="98"/>
      <c r="AI26" s="99">
        <f>+AI24+AI25</f>
        <v>43.29875109787335</v>
      </c>
      <c r="AJ26" s="100">
        <f>+AI26/AO26</f>
        <v>0.16774534917882758</v>
      </c>
      <c r="AK26" s="99">
        <f>+AK24+AK25</f>
        <v>10.786006163045966</v>
      </c>
      <c r="AL26" s="100">
        <f>+AK26/AO26</f>
        <v>4.1786479383096965E-2</v>
      </c>
      <c r="AM26" s="99">
        <f>+AM24+AM25</f>
        <v>204.03715973908069</v>
      </c>
      <c r="AN26" s="100">
        <f>+AM26/AO26</f>
        <v>0.79046817143807546</v>
      </c>
      <c r="AO26" s="249">
        <f>+AO24+AO25</f>
        <v>258.121917</v>
      </c>
    </row>
    <row r="27" spans="1:41" x14ac:dyDescent="0.3">
      <c r="A27" s="30"/>
      <c r="B27" s="28" t="s">
        <v>48</v>
      </c>
      <c r="C27" s="226">
        <f>+AI22</f>
        <v>24.601170799478748</v>
      </c>
      <c r="D27" s="226">
        <f>+AK22</f>
        <v>9.8019229894462505</v>
      </c>
      <c r="E27" s="226">
        <f>+AM22</f>
        <v>223.71882321107501</v>
      </c>
      <c r="F27" s="126">
        <f t="shared" ref="F27:F35" si="10">SUM(C27:E27)</f>
        <v>258.121917</v>
      </c>
      <c r="G27" s="222">
        <f t="shared" ref="G27:G35" si="11">+E27*I27</f>
        <v>3355782.3481661249</v>
      </c>
      <c r="H27" s="136">
        <v>25</v>
      </c>
      <c r="I27" s="135">
        <v>15000</v>
      </c>
      <c r="J27" s="355"/>
      <c r="K27" s="356"/>
      <c r="L27" s="357"/>
      <c r="M27" s="137">
        <f t="shared" ref="M27:M35" si="12">+G27/H27</f>
        <v>134231.29392664498</v>
      </c>
      <c r="N27" s="270">
        <f>+N26</f>
        <v>46000</v>
      </c>
      <c r="O27" s="12"/>
      <c r="P27" s="13"/>
      <c r="Q27" s="12">
        <f t="shared" si="8"/>
        <v>24698.558082502677</v>
      </c>
      <c r="R27" s="13">
        <f t="shared" si="8"/>
        <v>11224</v>
      </c>
      <c r="S27" s="276"/>
      <c r="T27" s="277"/>
      <c r="U27" s="278"/>
      <c r="V27" s="17">
        <f t="shared" si="9"/>
        <v>0</v>
      </c>
      <c r="W27" s="3">
        <f t="shared" si="9"/>
        <v>0</v>
      </c>
      <c r="X27" s="36">
        <f t="shared" ref="X27:X35" si="13">+V27+W27</f>
        <v>0</v>
      </c>
      <c r="Y27" s="199">
        <f>+Y26</f>
        <v>0</v>
      </c>
      <c r="Z27" s="57">
        <f t="shared" ref="Z27:Z35" si="14">+Q27+R27+V27+W27+Y27</f>
        <v>35922.558082502677</v>
      </c>
      <c r="AA27" s="4"/>
      <c r="AB27" s="160">
        <f>IF($AB$25=0,0,AB26*(1+$AB$25))</f>
        <v>0</v>
      </c>
      <c r="AC27" s="160" t="e">
        <f>+#REF!</f>
        <v>#REF!</v>
      </c>
      <c r="AD27" s="160" t="e">
        <f t="shared" ref="AD27:AD35" si="15">+AB27-AC27</f>
        <v>#REF!</v>
      </c>
      <c r="AE27" s="31"/>
      <c r="AG27" s="423" t="s">
        <v>26</v>
      </c>
      <c r="AH27" s="69">
        <f>+AH25</f>
        <v>4.4999999999999998E-2</v>
      </c>
      <c r="AI27" s="65">
        <f>-AM27*AH$17</f>
        <v>8.7225885788456985</v>
      </c>
      <c r="AJ27" s="62"/>
      <c r="AK27" s="65">
        <f>-AM27*(1-AH$17)</f>
        <v>0.45908360941293197</v>
      </c>
      <c r="AL27" s="62"/>
      <c r="AM27" s="64">
        <f>-(+AM18+AM19+AM21+AM23+AM25)*AH27</f>
        <v>-9.1816721882586307</v>
      </c>
      <c r="AN27" s="64"/>
      <c r="AO27" s="252"/>
    </row>
    <row r="28" spans="1:41" x14ac:dyDescent="0.3">
      <c r="A28" s="30"/>
      <c r="B28" s="28" t="s">
        <v>49</v>
      </c>
      <c r="C28" s="226">
        <f>+AI24</f>
        <v>34.1651504917522</v>
      </c>
      <c r="D28" s="226">
        <f>+AK24</f>
        <v>10.305290341671169</v>
      </c>
      <c r="E28" s="226">
        <f>+AM24</f>
        <v>213.65147616657663</v>
      </c>
      <c r="F28" s="126">
        <f t="shared" si="10"/>
        <v>258.121917</v>
      </c>
      <c r="G28" s="222">
        <f t="shared" si="11"/>
        <v>3204772.1424986497</v>
      </c>
      <c r="H28" s="136">
        <v>25</v>
      </c>
      <c r="I28" s="135">
        <v>15000</v>
      </c>
      <c r="J28" s="355"/>
      <c r="K28" s="356"/>
      <c r="L28" s="357"/>
      <c r="M28" s="137">
        <f t="shared" si="12"/>
        <v>128190.88569994598</v>
      </c>
      <c r="N28" s="270">
        <f t="shared" ref="N28:N35" si="16">+N27</f>
        <v>46000</v>
      </c>
      <c r="O28" s="12"/>
      <c r="P28" s="13"/>
      <c r="Q28" s="12">
        <f t="shared" si="8"/>
        <v>23587.12296879006</v>
      </c>
      <c r="R28" s="13">
        <f t="shared" si="8"/>
        <v>11224</v>
      </c>
      <c r="S28" s="276"/>
      <c r="T28" s="277"/>
      <c r="U28" s="278"/>
      <c r="V28" s="17">
        <f t="shared" si="9"/>
        <v>0</v>
      </c>
      <c r="W28" s="3">
        <f t="shared" si="9"/>
        <v>0</v>
      </c>
      <c r="X28" s="36">
        <f t="shared" si="13"/>
        <v>0</v>
      </c>
      <c r="Y28" s="199">
        <f t="shared" ref="Y28:Y35" si="17">+Y27</f>
        <v>0</v>
      </c>
      <c r="Z28" s="57">
        <f t="shared" si="14"/>
        <v>34811.122968790063</v>
      </c>
      <c r="AA28" s="4"/>
      <c r="AB28" s="160">
        <f t="shared" ref="AB28:AB35" si="18">IF($AB$25=0,0,AB27*(1+$AB$25))</f>
        <v>0</v>
      </c>
      <c r="AC28" s="160" t="e">
        <f>+#REF!</f>
        <v>#REF!</v>
      </c>
      <c r="AD28" s="160" t="e">
        <f t="shared" si="15"/>
        <v>#REF!</v>
      </c>
      <c r="AE28" s="31"/>
      <c r="AG28" s="424"/>
      <c r="AH28" s="98"/>
      <c r="AI28" s="99">
        <f>+AI26+AI27</f>
        <v>52.021339676719052</v>
      </c>
      <c r="AJ28" s="100">
        <f>+AI28/AO28</f>
        <v>0.20153786350780531</v>
      </c>
      <c r="AK28" s="99">
        <f>+AK26+AK27</f>
        <v>11.245089772458899</v>
      </c>
      <c r="AL28" s="100">
        <f>+AK28/AO28</f>
        <v>4.356503276883264E-2</v>
      </c>
      <c r="AM28" s="99">
        <f>+AM26+AM27</f>
        <v>194.85548755082206</v>
      </c>
      <c r="AN28" s="100">
        <f>+AM28/AO28</f>
        <v>0.75489710372336216</v>
      </c>
      <c r="AO28" s="249">
        <f>+AO26+AO27</f>
        <v>258.121917</v>
      </c>
    </row>
    <row r="29" spans="1:41" x14ac:dyDescent="0.3">
      <c r="A29" s="30"/>
      <c r="B29" s="28" t="s">
        <v>50</v>
      </c>
      <c r="C29" s="226">
        <f>+AI26</f>
        <v>43.29875109787335</v>
      </c>
      <c r="D29" s="226">
        <f>+AK26</f>
        <v>10.786006163045966</v>
      </c>
      <c r="E29" s="226">
        <f>+AM26</f>
        <v>204.03715973908069</v>
      </c>
      <c r="F29" s="126">
        <f t="shared" si="10"/>
        <v>258.121917</v>
      </c>
      <c r="G29" s="222">
        <f t="shared" si="11"/>
        <v>3060557.3960862104</v>
      </c>
      <c r="H29" s="136">
        <v>25</v>
      </c>
      <c r="I29" s="135">
        <v>15000</v>
      </c>
      <c r="J29" s="355"/>
      <c r="K29" s="356"/>
      <c r="L29" s="357"/>
      <c r="M29" s="137">
        <f t="shared" si="12"/>
        <v>122422.29584344842</v>
      </c>
      <c r="N29" s="270">
        <f t="shared" si="16"/>
        <v>46000</v>
      </c>
      <c r="O29" s="12"/>
      <c r="P29" s="13"/>
      <c r="Q29" s="12">
        <f t="shared" si="8"/>
        <v>22525.702435194507</v>
      </c>
      <c r="R29" s="13">
        <f t="shared" si="8"/>
        <v>11224</v>
      </c>
      <c r="S29" s="276"/>
      <c r="T29" s="277"/>
      <c r="U29" s="278"/>
      <c r="V29" s="17">
        <f t="shared" si="9"/>
        <v>0</v>
      </c>
      <c r="W29" s="3">
        <f t="shared" si="9"/>
        <v>0</v>
      </c>
      <c r="X29" s="36">
        <f t="shared" si="13"/>
        <v>0</v>
      </c>
      <c r="Y29" s="199">
        <f t="shared" si="17"/>
        <v>0</v>
      </c>
      <c r="Z29" s="57">
        <f t="shared" si="14"/>
        <v>33749.702435194507</v>
      </c>
      <c r="AA29" s="4"/>
      <c r="AB29" s="160">
        <f t="shared" si="18"/>
        <v>0</v>
      </c>
      <c r="AC29" s="160" t="e">
        <f>+#REF!</f>
        <v>#REF!</v>
      </c>
      <c r="AD29" s="160" t="e">
        <f t="shared" si="15"/>
        <v>#REF!</v>
      </c>
      <c r="AE29" s="31"/>
      <c r="AG29" s="423" t="s">
        <v>27</v>
      </c>
      <c r="AH29" s="69">
        <f>+AH27</f>
        <v>4.4999999999999998E-2</v>
      </c>
      <c r="AI29" s="65">
        <f>-AM29*AH$17</f>
        <v>8.3300720927976428</v>
      </c>
      <c r="AJ29" s="62"/>
      <c r="AK29" s="65">
        <f>-AM29*(1-AH$17)</f>
        <v>0.43842484698934997</v>
      </c>
      <c r="AL29" s="62"/>
      <c r="AM29" s="64">
        <f>-(+AM18+AM19+AM21+AM23+AM25+AM27)*AH29</f>
        <v>-8.7684969397869921</v>
      </c>
      <c r="AN29" s="64"/>
      <c r="AO29" s="252"/>
    </row>
    <row r="30" spans="1:41" x14ac:dyDescent="0.3">
      <c r="A30" s="30"/>
      <c r="B30" s="28" t="s">
        <v>51</v>
      </c>
      <c r="C30" s="226">
        <f>+AI28</f>
        <v>52.021339676719052</v>
      </c>
      <c r="D30" s="226">
        <f>+AK28</f>
        <v>11.245089772458899</v>
      </c>
      <c r="E30" s="226">
        <f>+AM28</f>
        <v>194.85548755082206</v>
      </c>
      <c r="F30" s="126">
        <f t="shared" si="10"/>
        <v>258.121917</v>
      </c>
      <c r="G30" s="222">
        <f t="shared" si="11"/>
        <v>2922832.3132623308</v>
      </c>
      <c r="H30" s="136">
        <v>25</v>
      </c>
      <c r="I30" s="135">
        <v>15000</v>
      </c>
      <c r="J30" s="355"/>
      <c r="K30" s="356"/>
      <c r="L30" s="357"/>
      <c r="M30" s="137">
        <f t="shared" si="12"/>
        <v>116913.29253049323</v>
      </c>
      <c r="N30" s="270">
        <f t="shared" si="16"/>
        <v>46000</v>
      </c>
      <c r="O30" s="12"/>
      <c r="P30" s="13"/>
      <c r="Q30" s="12">
        <f t="shared" si="8"/>
        <v>21512.045825610752</v>
      </c>
      <c r="R30" s="13">
        <f t="shared" si="8"/>
        <v>11224</v>
      </c>
      <c r="S30" s="276"/>
      <c r="T30" s="277"/>
      <c r="U30" s="278"/>
      <c r="V30" s="17">
        <f t="shared" si="9"/>
        <v>0</v>
      </c>
      <c r="W30" s="3">
        <f t="shared" si="9"/>
        <v>0</v>
      </c>
      <c r="X30" s="36">
        <f t="shared" si="13"/>
        <v>0</v>
      </c>
      <c r="Y30" s="199">
        <f t="shared" si="17"/>
        <v>0</v>
      </c>
      <c r="Z30" s="57">
        <f t="shared" si="14"/>
        <v>32736.045825610752</v>
      </c>
      <c r="AA30" s="4"/>
      <c r="AB30" s="160">
        <f t="shared" si="18"/>
        <v>0</v>
      </c>
      <c r="AC30" s="160" t="e">
        <f>+#REF!</f>
        <v>#REF!</v>
      </c>
      <c r="AD30" s="160" t="e">
        <f t="shared" si="15"/>
        <v>#REF!</v>
      </c>
      <c r="AE30" s="31"/>
      <c r="AG30" s="424"/>
      <c r="AH30" s="98"/>
      <c r="AI30" s="99">
        <f>+AI28+AI29</f>
        <v>60.351411769516695</v>
      </c>
      <c r="AJ30" s="100">
        <f>+AI30/AO30</f>
        <v>0.23380971469197903</v>
      </c>
      <c r="AK30" s="99">
        <f>+AK28+AK29</f>
        <v>11.683514619448248</v>
      </c>
      <c r="AL30" s="100">
        <f>+AK30/AO30</f>
        <v>4.5263551252210203E-2</v>
      </c>
      <c r="AM30" s="99">
        <f>+AM28+AM29</f>
        <v>186.08699061103508</v>
      </c>
      <c r="AN30" s="100">
        <f>+AM30/AO30</f>
        <v>0.72092673405581087</v>
      </c>
      <c r="AO30" s="249">
        <f>+AO28+AO29</f>
        <v>258.121917</v>
      </c>
    </row>
    <row r="31" spans="1:41" x14ac:dyDescent="0.3">
      <c r="A31" s="30"/>
      <c r="B31" s="28" t="s">
        <v>52</v>
      </c>
      <c r="C31" s="226">
        <f>+AI30</f>
        <v>60.351411769516695</v>
      </c>
      <c r="D31" s="226">
        <f>+AK30</f>
        <v>11.683514619448248</v>
      </c>
      <c r="E31" s="226">
        <f>+AM30</f>
        <v>186.08699061103508</v>
      </c>
      <c r="F31" s="126">
        <f t="shared" si="10"/>
        <v>258.12191700000005</v>
      </c>
      <c r="G31" s="222">
        <f t="shared" si="11"/>
        <v>2791304.859165526</v>
      </c>
      <c r="H31" s="136">
        <v>25</v>
      </c>
      <c r="I31" s="135">
        <v>15000</v>
      </c>
      <c r="J31" s="355"/>
      <c r="K31" s="356"/>
      <c r="L31" s="357"/>
      <c r="M31" s="137">
        <f t="shared" si="12"/>
        <v>111652.19436662104</v>
      </c>
      <c r="N31" s="270">
        <f t="shared" si="16"/>
        <v>46000</v>
      </c>
      <c r="O31" s="12"/>
      <c r="P31" s="13"/>
      <c r="Q31" s="12">
        <f t="shared" si="8"/>
        <v>20544.003763458273</v>
      </c>
      <c r="R31" s="13">
        <f t="shared" si="8"/>
        <v>11224</v>
      </c>
      <c r="S31" s="276"/>
      <c r="T31" s="277"/>
      <c r="U31" s="278"/>
      <c r="V31" s="17">
        <f t="shared" si="9"/>
        <v>0</v>
      </c>
      <c r="W31" s="3">
        <f t="shared" si="9"/>
        <v>0</v>
      </c>
      <c r="X31" s="36">
        <f t="shared" si="13"/>
        <v>0</v>
      </c>
      <c r="Y31" s="199">
        <f t="shared" si="17"/>
        <v>0</v>
      </c>
      <c r="Z31" s="57">
        <f t="shared" si="14"/>
        <v>31768.003763458273</v>
      </c>
      <c r="AA31" s="4"/>
      <c r="AB31" s="160">
        <f t="shared" si="18"/>
        <v>0</v>
      </c>
      <c r="AC31" s="160" t="e">
        <f>+#REF!</f>
        <v>#REF!</v>
      </c>
      <c r="AD31" s="160" t="e">
        <f t="shared" si="15"/>
        <v>#REF!</v>
      </c>
      <c r="AE31" s="31"/>
      <c r="AG31" s="423" t="s">
        <v>28</v>
      </c>
      <c r="AH31" s="69">
        <f>+AH29</f>
        <v>4.4999999999999998E-2</v>
      </c>
      <c r="AI31" s="65">
        <f>-AM31*AH$17</f>
        <v>7.9552188486217483</v>
      </c>
      <c r="AJ31" s="62"/>
      <c r="AK31" s="65">
        <f>-AM31*(1-AH$17)</f>
        <v>0.41869572887482925</v>
      </c>
      <c r="AL31" s="62"/>
      <c r="AM31" s="64">
        <f>-(+AM18+AM19+AM21+AM23+AM25+AM27+AM29)*AH31</f>
        <v>-8.3739145774965777</v>
      </c>
      <c r="AN31" s="64"/>
      <c r="AO31" s="252"/>
    </row>
    <row r="32" spans="1:41" x14ac:dyDescent="0.3">
      <c r="A32" s="30"/>
      <c r="B32" s="28" t="s">
        <v>53</v>
      </c>
      <c r="C32" s="226">
        <f>+AI32</f>
        <v>68.306630618138442</v>
      </c>
      <c r="D32" s="226">
        <f>+AK32</f>
        <v>12.102210348323077</v>
      </c>
      <c r="E32" s="226">
        <f>+AM32</f>
        <v>177.7130760335385</v>
      </c>
      <c r="F32" s="126">
        <f t="shared" si="10"/>
        <v>258.12191700000005</v>
      </c>
      <c r="G32" s="222">
        <f t="shared" si="11"/>
        <v>2665696.1405030773</v>
      </c>
      <c r="H32" s="136">
        <v>25</v>
      </c>
      <c r="I32" s="135">
        <v>15000</v>
      </c>
      <c r="J32" s="355"/>
      <c r="K32" s="356"/>
      <c r="L32" s="357"/>
      <c r="M32" s="137">
        <f t="shared" si="12"/>
        <v>106627.84562012309</v>
      </c>
      <c r="N32" s="270">
        <f t="shared" si="16"/>
        <v>46000</v>
      </c>
      <c r="O32" s="12"/>
      <c r="P32" s="13"/>
      <c r="Q32" s="12">
        <f t="shared" si="8"/>
        <v>19619.523594102648</v>
      </c>
      <c r="R32" s="13">
        <f t="shared" si="8"/>
        <v>11224</v>
      </c>
      <c r="S32" s="276"/>
      <c r="T32" s="277"/>
      <c r="U32" s="278"/>
      <c r="V32" s="17">
        <f t="shared" si="9"/>
        <v>0</v>
      </c>
      <c r="W32" s="3">
        <f t="shared" si="9"/>
        <v>0</v>
      </c>
      <c r="X32" s="36">
        <f t="shared" si="13"/>
        <v>0</v>
      </c>
      <c r="Y32" s="199">
        <f t="shared" si="17"/>
        <v>0</v>
      </c>
      <c r="Z32" s="57">
        <f t="shared" si="14"/>
        <v>30843.523594102648</v>
      </c>
      <c r="AA32" s="4"/>
      <c r="AB32" s="160">
        <f t="shared" si="18"/>
        <v>0</v>
      </c>
      <c r="AC32" s="160" t="e">
        <f>+#REF!</f>
        <v>#REF!</v>
      </c>
      <c r="AD32" s="160" t="e">
        <f t="shared" si="15"/>
        <v>#REF!</v>
      </c>
      <c r="AE32" s="31"/>
      <c r="AG32" s="424"/>
      <c r="AH32" s="98"/>
      <c r="AI32" s="99">
        <f>+AI30+AI31</f>
        <v>68.306630618138442</v>
      </c>
      <c r="AJ32" s="100">
        <f>+AI32/AO32</f>
        <v>0.26462933257286497</v>
      </c>
      <c r="AK32" s="99">
        <f>+AK30+AK31</f>
        <v>12.102210348323077</v>
      </c>
      <c r="AL32" s="100">
        <f>+AK32/AO32</f>
        <v>4.6885636403835779E-2</v>
      </c>
      <c r="AM32" s="99">
        <f>+AM30+AM31</f>
        <v>177.7130760335385</v>
      </c>
      <c r="AN32" s="100">
        <f>+AM32/AO32</f>
        <v>0.68848503102329939</v>
      </c>
      <c r="AO32" s="249">
        <f>+AO30+AO31</f>
        <v>258.121917</v>
      </c>
    </row>
    <row r="33" spans="1:41" x14ac:dyDescent="0.3">
      <c r="A33" s="30"/>
      <c r="B33" s="28" t="s">
        <v>54</v>
      </c>
      <c r="C33" s="226">
        <f>+AI34</f>
        <v>75.903864618572214</v>
      </c>
      <c r="D33" s="226">
        <f>+AK34</f>
        <v>12.502064769398539</v>
      </c>
      <c r="E33" s="226">
        <f>+AM34</f>
        <v>169.71598761202927</v>
      </c>
      <c r="F33" s="126">
        <f t="shared" si="10"/>
        <v>258.12191700000005</v>
      </c>
      <c r="G33" s="222">
        <f t="shared" si="11"/>
        <v>2545739.8141804389</v>
      </c>
      <c r="H33" s="136">
        <v>25</v>
      </c>
      <c r="I33" s="135">
        <v>15000</v>
      </c>
      <c r="J33" s="355"/>
      <c r="K33" s="356"/>
      <c r="L33" s="357"/>
      <c r="M33" s="137">
        <f t="shared" si="12"/>
        <v>101829.59256721755</v>
      </c>
      <c r="N33" s="270">
        <f t="shared" si="16"/>
        <v>46000</v>
      </c>
      <c r="O33" s="12"/>
      <c r="P33" s="13"/>
      <c r="Q33" s="12">
        <f t="shared" si="8"/>
        <v>18736.645032368029</v>
      </c>
      <c r="R33" s="13">
        <f t="shared" si="8"/>
        <v>11224</v>
      </c>
      <c r="S33" s="276"/>
      <c r="T33" s="277"/>
      <c r="U33" s="278"/>
      <c r="V33" s="17">
        <f t="shared" si="9"/>
        <v>0</v>
      </c>
      <c r="W33" s="3">
        <f t="shared" si="9"/>
        <v>0</v>
      </c>
      <c r="X33" s="36">
        <f t="shared" si="13"/>
        <v>0</v>
      </c>
      <c r="Y33" s="199">
        <f t="shared" si="17"/>
        <v>0</v>
      </c>
      <c r="Z33" s="57">
        <f t="shared" si="14"/>
        <v>29960.645032368029</v>
      </c>
      <c r="AA33" s="4"/>
      <c r="AB33" s="160">
        <f t="shared" si="18"/>
        <v>0</v>
      </c>
      <c r="AC33" s="160" t="e">
        <f>+#REF!</f>
        <v>#REF!</v>
      </c>
      <c r="AD33" s="160" t="e">
        <f t="shared" si="15"/>
        <v>#REF!</v>
      </c>
      <c r="AE33" s="31"/>
      <c r="AG33" s="423" t="s">
        <v>29</v>
      </c>
      <c r="AH33" s="69">
        <f>+AH31</f>
        <v>4.4999999999999998E-2</v>
      </c>
      <c r="AI33" s="65">
        <f>-AM33*AH$17</f>
        <v>7.5972340004337706</v>
      </c>
      <c r="AJ33" s="62"/>
      <c r="AK33" s="65">
        <f>-AM33*(1-AH$17)</f>
        <v>0.39985442107546199</v>
      </c>
      <c r="AL33" s="62"/>
      <c r="AM33" s="64">
        <f>-(+AM18+AM19+AM21+AM23+AM25+AM27+AM29+AM31)*AH33</f>
        <v>-7.9970884215092326</v>
      </c>
      <c r="AN33" s="64"/>
      <c r="AO33" s="252"/>
    </row>
    <row r="34" spans="1:41" x14ac:dyDescent="0.3">
      <c r="A34" s="30"/>
      <c r="B34" s="28" t="s">
        <v>55</v>
      </c>
      <c r="C34" s="226">
        <f>+AI36</f>
        <v>83.159223088986465</v>
      </c>
      <c r="D34" s="226">
        <f>+AK36</f>
        <v>12.883925741525605</v>
      </c>
      <c r="E34" s="226">
        <f>+AM36</f>
        <v>162.07876816948794</v>
      </c>
      <c r="F34" s="126">
        <f t="shared" si="10"/>
        <v>258.121917</v>
      </c>
      <c r="G34" s="222">
        <f t="shared" si="11"/>
        <v>2431181.5225423193</v>
      </c>
      <c r="H34" s="136">
        <v>25</v>
      </c>
      <c r="I34" s="135">
        <v>15000</v>
      </c>
      <c r="J34" s="355"/>
      <c r="K34" s="356"/>
      <c r="L34" s="357"/>
      <c r="M34" s="137">
        <f t="shared" si="12"/>
        <v>97247.260901692774</v>
      </c>
      <c r="N34" s="271">
        <f t="shared" si="16"/>
        <v>46000</v>
      </c>
      <c r="P34" s="284"/>
      <c r="Q34" s="12">
        <f t="shared" si="8"/>
        <v>17893.496005911471</v>
      </c>
      <c r="R34" s="13">
        <f t="shared" si="8"/>
        <v>11224</v>
      </c>
      <c r="S34" s="279"/>
      <c r="T34" s="280"/>
      <c r="U34" s="278"/>
      <c r="V34" s="17">
        <f t="shared" si="9"/>
        <v>0</v>
      </c>
      <c r="W34" s="3">
        <f t="shared" si="9"/>
        <v>0</v>
      </c>
      <c r="X34" s="36">
        <f t="shared" si="13"/>
        <v>0</v>
      </c>
      <c r="Y34" s="199">
        <f t="shared" si="17"/>
        <v>0</v>
      </c>
      <c r="Z34" s="57">
        <f t="shared" si="14"/>
        <v>29117.496005911471</v>
      </c>
      <c r="AB34" s="160">
        <f t="shared" si="18"/>
        <v>0</v>
      </c>
      <c r="AC34" s="160" t="e">
        <f>+#REF!</f>
        <v>#REF!</v>
      </c>
      <c r="AD34" s="160" t="e">
        <f t="shared" si="15"/>
        <v>#REF!</v>
      </c>
      <c r="AE34" s="31"/>
      <c r="AG34" s="424"/>
      <c r="AH34" s="98"/>
      <c r="AI34" s="99">
        <f>+AI32+AI33</f>
        <v>75.903864618572214</v>
      </c>
      <c r="AJ34" s="100">
        <f>+AI34/AO34</f>
        <v>0.29406206764911103</v>
      </c>
      <c r="AK34" s="99">
        <f>+AK32+AK33</f>
        <v>12.502064769398539</v>
      </c>
      <c r="AL34" s="100">
        <f>+AK34/AO34</f>
        <v>4.8434727723638202E-2</v>
      </c>
      <c r="AM34" s="99">
        <f>+AM32+AM33</f>
        <v>169.71598761202927</v>
      </c>
      <c r="AN34" s="100">
        <f>+AM34/AO34</f>
        <v>0.65750320462725087</v>
      </c>
      <c r="AO34" s="249">
        <f>+AO32+AO33</f>
        <v>258.121917</v>
      </c>
    </row>
    <row r="35" spans="1:41" ht="15" thickBot="1" x14ac:dyDescent="0.35">
      <c r="A35" s="30"/>
      <c r="B35" s="29" t="s">
        <v>56</v>
      </c>
      <c r="C35" s="227">
        <f>+AI38</f>
        <v>90.088090428232078</v>
      </c>
      <c r="D35" s="227">
        <f>+AK38</f>
        <v>13.248602969906953</v>
      </c>
      <c r="E35" s="227">
        <f>+AM38</f>
        <v>154.78522360186099</v>
      </c>
      <c r="F35" s="127">
        <f t="shared" si="10"/>
        <v>258.12191700000005</v>
      </c>
      <c r="G35" s="223">
        <f t="shared" si="11"/>
        <v>2321778.3540279148</v>
      </c>
      <c r="H35" s="152">
        <v>25</v>
      </c>
      <c r="I35" s="143">
        <v>15000</v>
      </c>
      <c r="J35" s="358"/>
      <c r="K35" s="359"/>
      <c r="L35" s="360"/>
      <c r="M35" s="153">
        <f t="shared" si="12"/>
        <v>92871.134161116599</v>
      </c>
      <c r="N35" s="272">
        <f t="shared" si="16"/>
        <v>46000</v>
      </c>
      <c r="O35" s="24"/>
      <c r="P35" s="285"/>
      <c r="Q35" s="14">
        <f t="shared" si="8"/>
        <v>17088.288685645453</v>
      </c>
      <c r="R35" s="15">
        <f t="shared" si="8"/>
        <v>11224</v>
      </c>
      <c r="S35" s="281"/>
      <c r="T35" s="282"/>
      <c r="U35" s="283"/>
      <c r="V35" s="18">
        <f t="shared" si="9"/>
        <v>0</v>
      </c>
      <c r="W35" s="21">
        <f t="shared" si="9"/>
        <v>0</v>
      </c>
      <c r="X35" s="37">
        <f t="shared" si="13"/>
        <v>0</v>
      </c>
      <c r="Y35" s="200">
        <f t="shared" si="17"/>
        <v>0</v>
      </c>
      <c r="Z35" s="57">
        <f t="shared" si="14"/>
        <v>28312.288685645453</v>
      </c>
      <c r="AA35" s="24"/>
      <c r="AB35" s="160">
        <f t="shared" si="18"/>
        <v>0</v>
      </c>
      <c r="AC35" s="160" t="e">
        <f>+#REF!</f>
        <v>#REF!</v>
      </c>
      <c r="AD35" s="190" t="e">
        <f t="shared" si="15"/>
        <v>#REF!</v>
      </c>
      <c r="AE35" s="31"/>
      <c r="AG35" s="423" t="s">
        <v>30</v>
      </c>
      <c r="AH35" s="69">
        <f>+AH33</f>
        <v>4.4999999999999998E-2</v>
      </c>
      <c r="AI35" s="65">
        <f>-AM35*AH$17</f>
        <v>7.25535847041425</v>
      </c>
      <c r="AJ35" s="62"/>
      <c r="AK35" s="65">
        <f>-AM35*(1-AH$17)</f>
        <v>0.38186097212706616</v>
      </c>
      <c r="AL35" s="62"/>
      <c r="AM35" s="64">
        <f>-(+AM18+AM19+AM21+AM23+AM25+AM27+AM29+AM31+AM33)*AH35</f>
        <v>-7.6372194425413165</v>
      </c>
      <c r="AN35" s="64"/>
      <c r="AO35" s="252"/>
    </row>
    <row r="36" spans="1:41" ht="15" thickBot="1" x14ac:dyDescent="0.35">
      <c r="A36" s="30"/>
      <c r="B36" s="165"/>
      <c r="C36" s="23"/>
      <c r="D36" s="23"/>
      <c r="E36" s="23"/>
      <c r="F36" s="23"/>
      <c r="G36" s="23"/>
      <c r="H36" s="23"/>
      <c r="I36" s="23"/>
      <c r="J36" s="23"/>
      <c r="K36" s="23"/>
      <c r="L36" s="23"/>
      <c r="M36" s="9"/>
      <c r="N36" s="23"/>
      <c r="V36" s="92">
        <f>SUM(V26:V35)</f>
        <v>0</v>
      </c>
      <c r="W36" s="92">
        <f>SUM(W26:W35)</f>
        <v>0</v>
      </c>
      <c r="X36" s="92">
        <f>SUM(X26:X35)</f>
        <v>0</v>
      </c>
      <c r="Y36" s="201">
        <f>SUM(Y26:Y35)</f>
        <v>0</v>
      </c>
      <c r="Z36" s="92">
        <f>SUM(Z26:Z35)</f>
        <v>324307.75087787991</v>
      </c>
      <c r="AA36" s="5"/>
      <c r="AB36" s="173">
        <f>SUM(AB26:AB35)</f>
        <v>0</v>
      </c>
      <c r="AC36" s="173" t="e">
        <f>SUM(AC26:AC35)</f>
        <v>#REF!</v>
      </c>
      <c r="AD36" s="189" t="e">
        <f>SUM(AD26:AD35)</f>
        <v>#REF!</v>
      </c>
      <c r="AE36" s="31"/>
      <c r="AG36" s="424"/>
      <c r="AH36" s="98"/>
      <c r="AI36" s="99">
        <f>+AI34+AI35</f>
        <v>83.159223088986465</v>
      </c>
      <c r="AJ36" s="100">
        <f>+AI36/AO36</f>
        <v>0.32217032964692599</v>
      </c>
      <c r="AK36" s="99">
        <f>+AK34+AK35</f>
        <v>12.883925741525605</v>
      </c>
      <c r="AL36" s="100">
        <f>+AK36/AO36</f>
        <v>4.9914109934049516E-2</v>
      </c>
      <c r="AM36" s="99">
        <f>+AM34+AM35</f>
        <v>162.07876816948794</v>
      </c>
      <c r="AN36" s="100">
        <f>+AM36/AO36</f>
        <v>0.62791556041902452</v>
      </c>
      <c r="AO36" s="249">
        <f>+AO34+AO35</f>
        <v>258.121917</v>
      </c>
    </row>
    <row r="37" spans="1:41" ht="15.6" thickTop="1" thickBot="1" x14ac:dyDescent="0.35">
      <c r="A37" s="30"/>
      <c r="M37" s="9"/>
      <c r="N37" s="1"/>
      <c r="O37" s="10"/>
      <c r="P37" s="10"/>
      <c r="Z37" s="174"/>
      <c r="AA37" s="188"/>
      <c r="AB37" s="175"/>
      <c r="AC37" s="175"/>
      <c r="AD37" s="175"/>
      <c r="AE37" s="31"/>
      <c r="AG37" s="423" t="s">
        <v>31</v>
      </c>
      <c r="AH37" s="73">
        <f>+AH35</f>
        <v>4.4999999999999998E-2</v>
      </c>
      <c r="AI37" s="65">
        <f>-AM37*AH$17</f>
        <v>6.9288673392456088</v>
      </c>
      <c r="AJ37" s="65"/>
      <c r="AK37" s="65">
        <f>-AM37*(1-AH$17)</f>
        <v>0.36467722838134814</v>
      </c>
      <c r="AL37" s="65"/>
      <c r="AM37" s="66">
        <f>-(+AM18+AM19+AM21+AM23+AM25+AM27+AM29+AM31+AM33+AM35)*AH37</f>
        <v>-7.2935445676269568</v>
      </c>
      <c r="AN37" s="66"/>
      <c r="AO37" s="254"/>
    </row>
    <row r="38" spans="1:41" ht="15" thickBot="1" x14ac:dyDescent="0.35">
      <c r="A38" s="30"/>
      <c r="B38" s="52" t="s">
        <v>84</v>
      </c>
      <c r="C38" s="25"/>
      <c r="D38" s="53"/>
      <c r="E38" s="56"/>
      <c r="F38" s="53"/>
      <c r="G38" s="56"/>
      <c r="H38" s="53"/>
      <c r="I38" s="60"/>
      <c r="Y38" s="52" t="s">
        <v>75</v>
      </c>
      <c r="Z38" s="53"/>
      <c r="AA38" s="53"/>
      <c r="AB38" s="53"/>
      <c r="AC38" s="53"/>
      <c r="AD38" s="54"/>
      <c r="AE38" s="31"/>
      <c r="AG38" s="424"/>
      <c r="AH38" s="98"/>
      <c r="AI38" s="99">
        <f>+AI36+AI37</f>
        <v>90.088090428232078</v>
      </c>
      <c r="AJ38" s="101">
        <f>+AI38/AO38</f>
        <v>0.34901371985483931</v>
      </c>
      <c r="AK38" s="99">
        <f>+AK36+AK37</f>
        <v>13.248602969906953</v>
      </c>
      <c r="AL38" s="101">
        <f>+AK38/AO38</f>
        <v>5.1326919944992326E-2</v>
      </c>
      <c r="AM38" s="99">
        <f>+AM36+AM37</f>
        <v>154.78522360186099</v>
      </c>
      <c r="AN38" s="101">
        <f>+AM38/AO38</f>
        <v>0.59965936020016852</v>
      </c>
      <c r="AO38" s="249">
        <f>+AO36+AO37</f>
        <v>258.121917</v>
      </c>
    </row>
    <row r="39" spans="1:41" ht="16.5" customHeight="1" thickTop="1" thickBot="1" x14ac:dyDescent="0.35">
      <c r="A39" s="30"/>
      <c r="B39" s="218" t="s">
        <v>4</v>
      </c>
      <c r="C39" s="396" t="s">
        <v>16</v>
      </c>
      <c r="D39" s="397"/>
      <c r="E39" s="61">
        <v>15000</v>
      </c>
      <c r="F39" s="219"/>
      <c r="G39" s="61">
        <v>20000</v>
      </c>
      <c r="H39" s="219"/>
      <c r="I39" s="81">
        <v>25000</v>
      </c>
      <c r="J39" s="208"/>
      <c r="K39" s="193"/>
      <c r="Y39" s="218" t="s">
        <v>4</v>
      </c>
      <c r="Z39" s="220" t="s">
        <v>16</v>
      </c>
      <c r="AA39" s="236">
        <v>80000</v>
      </c>
      <c r="AB39" s="237">
        <v>100000</v>
      </c>
      <c r="AC39" s="237">
        <v>120000</v>
      </c>
      <c r="AD39" s="238">
        <v>130000</v>
      </c>
      <c r="AE39" s="31"/>
      <c r="AG39" s="387" t="s">
        <v>8</v>
      </c>
      <c r="AH39" s="80"/>
      <c r="AI39" s="390" t="s">
        <v>37</v>
      </c>
      <c r="AJ39" s="80"/>
      <c r="AK39" s="390" t="s">
        <v>38</v>
      </c>
      <c r="AL39" s="80"/>
      <c r="AM39" s="390" t="s">
        <v>39</v>
      </c>
      <c r="AN39" s="80"/>
      <c r="AO39" s="393" t="s">
        <v>36</v>
      </c>
    </row>
    <row r="40" spans="1:41" ht="15.75" customHeight="1" thickBot="1" x14ac:dyDescent="0.35">
      <c r="A40" s="30"/>
      <c r="B40" s="58">
        <v>20</v>
      </c>
      <c r="C40" s="398" t="s">
        <v>82</v>
      </c>
      <c r="D40" s="399"/>
      <c r="E40" s="47">
        <f>+E$39/$B40*$S$12</f>
        <v>0</v>
      </c>
      <c r="F40" s="47"/>
      <c r="G40" s="47">
        <f>+G$39/$B40*$S$12</f>
        <v>0</v>
      </c>
      <c r="H40" s="47"/>
      <c r="I40" s="48">
        <f>+I$39/$B40*$S$12</f>
        <v>0</v>
      </c>
      <c r="J40" s="209"/>
      <c r="K40" s="191"/>
      <c r="Y40" s="231">
        <v>5.5</v>
      </c>
      <c r="Z40" s="400" t="s">
        <v>82</v>
      </c>
      <c r="AA40" s="235"/>
      <c r="AB40" s="47">
        <f t="shared" ref="AB40:AD44" si="19">+AB$39/$Y40*$T$12</f>
        <v>0</v>
      </c>
      <c r="AC40" s="47">
        <f t="shared" si="19"/>
        <v>0</v>
      </c>
      <c r="AD40" s="48">
        <f t="shared" si="19"/>
        <v>0</v>
      </c>
      <c r="AE40" s="31"/>
      <c r="AG40" s="388"/>
      <c r="AH40" s="205"/>
      <c r="AI40" s="391"/>
      <c r="AJ40" s="205"/>
      <c r="AK40" s="391"/>
      <c r="AL40" s="205"/>
      <c r="AM40" s="391"/>
      <c r="AN40" s="205"/>
      <c r="AO40" s="394"/>
    </row>
    <row r="41" spans="1:41" ht="15" thickBot="1" x14ac:dyDescent="0.35">
      <c r="A41" s="30"/>
      <c r="B41" s="58">
        <v>25</v>
      </c>
      <c r="C41" s="400"/>
      <c r="D41" s="401"/>
      <c r="E41" s="239">
        <f>+E$39/$B41*$S$12</f>
        <v>0</v>
      </c>
      <c r="F41" s="228"/>
      <c r="G41" s="47">
        <f>+G$39/$B41*$S$12</f>
        <v>0</v>
      </c>
      <c r="H41" s="47"/>
      <c r="I41" s="48">
        <f>+I$39/$B41*$S$12</f>
        <v>0</v>
      </c>
      <c r="J41" s="209"/>
      <c r="K41" s="191"/>
      <c r="Y41" s="231">
        <v>6</v>
      </c>
      <c r="Z41" s="400"/>
      <c r="AA41" s="233"/>
      <c r="AB41" s="47">
        <f t="shared" si="19"/>
        <v>0</v>
      </c>
      <c r="AC41" s="47">
        <f t="shared" si="19"/>
        <v>0</v>
      </c>
      <c r="AD41" s="48">
        <f t="shared" si="19"/>
        <v>0</v>
      </c>
      <c r="AE41" s="31"/>
      <c r="AG41" s="388"/>
      <c r="AH41" s="205"/>
      <c r="AI41" s="391"/>
      <c r="AJ41" s="205"/>
      <c r="AK41" s="391"/>
      <c r="AL41" s="205"/>
      <c r="AM41" s="391"/>
      <c r="AN41" s="205"/>
      <c r="AO41" s="394"/>
    </row>
    <row r="42" spans="1:41" ht="15" thickBot="1" x14ac:dyDescent="0.35">
      <c r="A42" s="30"/>
      <c r="B42" s="207">
        <v>30</v>
      </c>
      <c r="C42" s="402"/>
      <c r="D42" s="403"/>
      <c r="E42" s="50">
        <f>+E$39/$B42*$S$12</f>
        <v>0</v>
      </c>
      <c r="F42" s="50"/>
      <c r="G42" s="50">
        <f>+G$39/$B42*$S$12</f>
        <v>0</v>
      </c>
      <c r="H42" s="50"/>
      <c r="I42" s="51">
        <f>+I$39/$B42*$S$12</f>
        <v>0</v>
      </c>
      <c r="J42" s="209"/>
      <c r="K42" s="191"/>
      <c r="M42" s="9"/>
      <c r="Y42" s="231">
        <v>6.5</v>
      </c>
      <c r="Z42" s="400"/>
      <c r="AA42" s="235"/>
      <c r="AB42" s="47">
        <f t="shared" si="19"/>
        <v>0</v>
      </c>
      <c r="AC42" s="241">
        <f t="shared" si="19"/>
        <v>0</v>
      </c>
      <c r="AD42" s="48">
        <f t="shared" si="19"/>
        <v>0</v>
      </c>
      <c r="AE42" s="31"/>
      <c r="AG42" s="389"/>
      <c r="AH42" s="206"/>
      <c r="AI42" s="392"/>
      <c r="AJ42" s="206"/>
      <c r="AK42" s="392"/>
      <c r="AL42" s="206"/>
      <c r="AM42" s="392"/>
      <c r="AN42" s="206"/>
      <c r="AO42" s="395"/>
    </row>
    <row r="43" spans="1:41" ht="15" thickBot="1" x14ac:dyDescent="0.35">
      <c r="A43" s="30"/>
      <c r="Y43" s="231">
        <v>7</v>
      </c>
      <c r="Z43" s="400"/>
      <c r="AA43" s="235"/>
      <c r="AB43" s="47">
        <f t="shared" si="19"/>
        <v>0</v>
      </c>
      <c r="AC43" s="47">
        <f t="shared" si="19"/>
        <v>0</v>
      </c>
      <c r="AD43" s="48">
        <f t="shared" si="19"/>
        <v>0</v>
      </c>
      <c r="AE43" s="31"/>
      <c r="AG43" s="253" t="s">
        <v>22</v>
      </c>
      <c r="AI43" s="3">
        <f>+AI20*AI$15</f>
        <v>0</v>
      </c>
      <c r="AJ43" s="85" t="e">
        <f t="shared" ref="AJ43:AJ53" si="20">+AI43/$AO43</f>
        <v>#DIV/0!</v>
      </c>
      <c r="AK43" s="3">
        <f>+AK20*AK$15</f>
        <v>0</v>
      </c>
      <c r="AL43" s="84" t="e">
        <f t="shared" ref="AL43:AL53" si="21">+AK43/$AO43</f>
        <v>#DIV/0!</v>
      </c>
      <c r="AM43" s="3">
        <f>+J$50*AM20</f>
        <v>0</v>
      </c>
      <c r="AN43" s="84" t="e">
        <f t="shared" ref="AN43:AN53" si="22">+AM43/$AO43</f>
        <v>#DIV/0!</v>
      </c>
      <c r="AO43" s="255">
        <f>+AM43+AK43+AI43</f>
        <v>0</v>
      </c>
    </row>
    <row r="44" spans="1:41" ht="15" thickBot="1" x14ac:dyDescent="0.35">
      <c r="A44" s="30"/>
      <c r="B44" s="27" t="s">
        <v>90</v>
      </c>
      <c r="C44" s="25"/>
      <c r="D44" s="25"/>
      <c r="E44" s="25"/>
      <c r="F44" s="25"/>
      <c r="G44" s="25"/>
      <c r="H44" s="25"/>
      <c r="I44" s="25"/>
      <c r="J44" s="25"/>
      <c r="K44" s="26"/>
      <c r="Y44" s="232">
        <v>7.5</v>
      </c>
      <c r="Z44" s="402"/>
      <c r="AA44" s="234"/>
      <c r="AB44" s="50">
        <f t="shared" si="19"/>
        <v>0</v>
      </c>
      <c r="AC44" s="50">
        <f t="shared" si="19"/>
        <v>0</v>
      </c>
      <c r="AD44" s="51">
        <f t="shared" si="19"/>
        <v>0</v>
      </c>
      <c r="AE44" s="31"/>
      <c r="AG44" s="253" t="s">
        <v>23</v>
      </c>
      <c r="AI44" s="3">
        <f>+AI22*AI$15</f>
        <v>0</v>
      </c>
      <c r="AJ44" s="85" t="e">
        <f t="shared" si="20"/>
        <v>#DIV/0!</v>
      </c>
      <c r="AK44" s="3">
        <f>+AK22*AK$15</f>
        <v>0</v>
      </c>
      <c r="AL44" s="85" t="e">
        <f t="shared" si="21"/>
        <v>#DIV/0!</v>
      </c>
      <c r="AM44" s="3">
        <f>+J$50*AM22</f>
        <v>0</v>
      </c>
      <c r="AN44" s="85" t="e">
        <f t="shared" si="22"/>
        <v>#DIV/0!</v>
      </c>
      <c r="AO44" s="256">
        <f t="shared" ref="AO44:AO52" si="23">+AM44+AK44+AI44</f>
        <v>0</v>
      </c>
    </row>
    <row r="45" spans="1:41" ht="16.5" customHeight="1" thickBot="1" x14ac:dyDescent="0.35">
      <c r="A45" s="30"/>
      <c r="B45" s="27"/>
      <c r="C45" s="87"/>
      <c r="D45" s="25"/>
      <c r="E45" s="25"/>
      <c r="F45" s="26"/>
      <c r="G45" s="412" t="s">
        <v>79</v>
      </c>
      <c r="H45" s="412"/>
      <c r="I45" s="212" t="s">
        <v>78</v>
      </c>
      <c r="J45" s="410" t="s">
        <v>17</v>
      </c>
      <c r="K45" s="411"/>
      <c r="AE45" s="31"/>
      <c r="AG45" s="253" t="s">
        <v>24</v>
      </c>
      <c r="AI45" s="3">
        <f>+AI24*AI$15</f>
        <v>0</v>
      </c>
      <c r="AJ45" s="85" t="e">
        <f t="shared" si="20"/>
        <v>#DIV/0!</v>
      </c>
      <c r="AK45" s="3">
        <f>+AK24*AK$15</f>
        <v>0</v>
      </c>
      <c r="AL45" s="85" t="e">
        <f t="shared" si="21"/>
        <v>#DIV/0!</v>
      </c>
      <c r="AM45" s="3">
        <f>+J$50*AM24</f>
        <v>0</v>
      </c>
      <c r="AN45" s="85" t="e">
        <f t="shared" si="22"/>
        <v>#DIV/0!</v>
      </c>
      <c r="AO45" s="256">
        <f t="shared" si="23"/>
        <v>0</v>
      </c>
    </row>
    <row r="46" spans="1:41" x14ac:dyDescent="0.3">
      <c r="A46" s="30"/>
      <c r="B46" s="22" t="s">
        <v>34</v>
      </c>
      <c r="C46" s="23"/>
      <c r="D46" s="23"/>
      <c r="E46" s="23"/>
      <c r="F46" s="23"/>
      <c r="G46" s="413">
        <f>+O12</f>
        <v>0.184</v>
      </c>
      <c r="H46" s="414"/>
      <c r="I46" s="215">
        <f>+M17</f>
        <v>142444</v>
      </c>
      <c r="J46" s="417">
        <f>+I46*G46</f>
        <v>26209.696</v>
      </c>
      <c r="K46" s="418"/>
      <c r="AE46" s="31"/>
      <c r="AG46" s="253" t="s">
        <v>25</v>
      </c>
      <c r="AI46" s="3">
        <f>+AI26*AI$15</f>
        <v>0</v>
      </c>
      <c r="AJ46" s="85" t="e">
        <f t="shared" si="20"/>
        <v>#DIV/0!</v>
      </c>
      <c r="AK46" s="3">
        <f>+AK26*AK$15</f>
        <v>0</v>
      </c>
      <c r="AL46" s="85" t="e">
        <f t="shared" si="21"/>
        <v>#DIV/0!</v>
      </c>
      <c r="AM46" s="3">
        <f>+J$50*AM26</f>
        <v>0</v>
      </c>
      <c r="AN46" s="85" t="e">
        <f t="shared" si="22"/>
        <v>#DIV/0!</v>
      </c>
      <c r="AO46" s="256">
        <f t="shared" si="23"/>
        <v>0</v>
      </c>
    </row>
    <row r="47" spans="1:41" ht="15" thickBot="1" x14ac:dyDescent="0.35">
      <c r="A47" s="30"/>
      <c r="B47" s="213" t="s">
        <v>35</v>
      </c>
      <c r="C47" s="214"/>
      <c r="D47" s="214"/>
      <c r="E47" s="214"/>
      <c r="F47" s="214"/>
      <c r="G47" s="415">
        <f>+S12</f>
        <v>0</v>
      </c>
      <c r="H47" s="416"/>
      <c r="I47" s="216"/>
      <c r="J47" s="419">
        <f>+I46*G47</f>
        <v>0</v>
      </c>
      <c r="K47" s="420"/>
      <c r="AE47" s="31"/>
      <c r="AG47" s="253" t="s">
        <v>26</v>
      </c>
      <c r="AI47" s="3">
        <f>+AI28*AI$15</f>
        <v>0</v>
      </c>
      <c r="AJ47" s="85" t="e">
        <f t="shared" si="20"/>
        <v>#DIV/0!</v>
      </c>
      <c r="AK47" s="3">
        <f>+AK28*AK$15</f>
        <v>0</v>
      </c>
      <c r="AL47" s="85" t="e">
        <f t="shared" si="21"/>
        <v>#DIV/0!</v>
      </c>
      <c r="AM47" s="3">
        <f>+J$50*AM28</f>
        <v>0</v>
      </c>
      <c r="AN47" s="85" t="e">
        <f t="shared" si="22"/>
        <v>#DIV/0!</v>
      </c>
      <c r="AO47" s="256">
        <f t="shared" si="23"/>
        <v>0</v>
      </c>
    </row>
    <row r="48" spans="1:41" ht="15" thickBot="1" x14ac:dyDescent="0.35">
      <c r="A48" s="30"/>
      <c r="B48" s="211" t="s">
        <v>81</v>
      </c>
      <c r="F48" s="25"/>
      <c r="G48" s="404">
        <f>+G46+G47</f>
        <v>0.184</v>
      </c>
      <c r="H48" s="405"/>
      <c r="I48" s="217">
        <f>+I46</f>
        <v>142444</v>
      </c>
      <c r="J48" s="421">
        <f>+J46+J47</f>
        <v>26209.696</v>
      </c>
      <c r="K48" s="422"/>
      <c r="AE48" s="31"/>
      <c r="AG48" s="253" t="s">
        <v>27</v>
      </c>
      <c r="AI48" s="3">
        <f>+AI28*AI$15</f>
        <v>0</v>
      </c>
      <c r="AJ48" s="85" t="e">
        <f t="shared" si="20"/>
        <v>#DIV/0!</v>
      </c>
      <c r="AK48" s="3">
        <f>+AK28*AK$15</f>
        <v>0</v>
      </c>
      <c r="AL48" s="85" t="e">
        <f t="shared" si="21"/>
        <v>#DIV/0!</v>
      </c>
      <c r="AM48" s="3">
        <f>+J$50*AM30</f>
        <v>0</v>
      </c>
      <c r="AN48" s="85" t="e">
        <f t="shared" si="22"/>
        <v>#DIV/0!</v>
      </c>
      <c r="AO48" s="256">
        <f t="shared" si="23"/>
        <v>0</v>
      </c>
    </row>
    <row r="49" spans="1:41" ht="15" thickBot="1" x14ac:dyDescent="0.35">
      <c r="A49" s="30"/>
      <c r="B49" s="82" t="s">
        <v>83</v>
      </c>
      <c r="C49" s="83"/>
      <c r="D49" s="83"/>
      <c r="E49" s="83"/>
      <c r="F49" s="83"/>
      <c r="G49" s="83"/>
      <c r="H49" s="83"/>
      <c r="I49" s="83"/>
      <c r="J49" s="408">
        <f>+AM18</f>
        <v>245.299003</v>
      </c>
      <c r="K49" s="409"/>
      <c r="Y49" s="194"/>
      <c r="Z49" s="46"/>
      <c r="AA49" s="191"/>
      <c r="AB49" s="191"/>
      <c r="AC49" s="191"/>
      <c r="AD49" s="191"/>
      <c r="AE49" s="31"/>
      <c r="AG49" s="253" t="s">
        <v>28</v>
      </c>
      <c r="AI49" s="3">
        <f>+AI32*AI$15</f>
        <v>0</v>
      </c>
      <c r="AJ49" s="85" t="e">
        <f t="shared" si="20"/>
        <v>#DIV/0!</v>
      </c>
      <c r="AK49" s="3">
        <f>+AK32*AK$15</f>
        <v>0</v>
      </c>
      <c r="AL49" s="85" t="e">
        <f t="shared" si="21"/>
        <v>#DIV/0!</v>
      </c>
      <c r="AM49" s="3">
        <f>+J$50*AM32</f>
        <v>0</v>
      </c>
      <c r="AN49" s="85" t="e">
        <f t="shared" si="22"/>
        <v>#DIV/0!</v>
      </c>
      <c r="AO49" s="256">
        <f t="shared" si="23"/>
        <v>0</v>
      </c>
    </row>
    <row r="50" spans="1:41" ht="15" thickBot="1" x14ac:dyDescent="0.35">
      <c r="A50" s="30"/>
      <c r="B50" s="213" t="s">
        <v>80</v>
      </c>
      <c r="C50" s="25"/>
      <c r="D50" s="25"/>
      <c r="E50" s="25"/>
      <c r="F50" s="25"/>
      <c r="G50" s="24"/>
      <c r="H50" s="24"/>
      <c r="I50" s="24"/>
      <c r="J50" s="406">
        <f>+J47/J49</f>
        <v>0</v>
      </c>
      <c r="K50" s="407"/>
      <c r="Y50" s="203"/>
      <c r="Z50" s="46"/>
      <c r="AA50" s="46"/>
      <c r="AB50" s="46"/>
      <c r="AC50" s="46"/>
      <c r="AD50" s="46"/>
      <c r="AE50" s="31"/>
      <c r="AG50" s="253" t="s">
        <v>29</v>
      </c>
      <c r="AI50" s="3">
        <f>+AI34*AI$15</f>
        <v>0</v>
      </c>
      <c r="AJ50" s="85" t="e">
        <f t="shared" si="20"/>
        <v>#DIV/0!</v>
      </c>
      <c r="AK50" s="3">
        <f>+AK34*AK$15</f>
        <v>0</v>
      </c>
      <c r="AL50" s="85" t="e">
        <f t="shared" si="21"/>
        <v>#DIV/0!</v>
      </c>
      <c r="AM50" s="3">
        <f>+J$50*AM34</f>
        <v>0</v>
      </c>
      <c r="AN50" s="85" t="e">
        <f t="shared" si="22"/>
        <v>#DIV/0!</v>
      </c>
      <c r="AO50" s="256">
        <f t="shared" si="23"/>
        <v>0</v>
      </c>
    </row>
    <row r="51" spans="1:41" ht="15" thickBot="1" x14ac:dyDescent="0.35">
      <c r="A51" s="30"/>
      <c r="T51" s="240"/>
      <c r="Y51" s="192"/>
      <c r="Z51" s="46"/>
      <c r="AA51" s="193"/>
      <c r="AB51" s="193"/>
      <c r="AC51" s="193"/>
      <c r="AD51" s="193"/>
      <c r="AE51" s="31"/>
      <c r="AG51" s="253" t="s">
        <v>30</v>
      </c>
      <c r="AI51" s="3">
        <f>+AI36*AI$15</f>
        <v>0</v>
      </c>
      <c r="AJ51" s="85" t="e">
        <f t="shared" si="20"/>
        <v>#DIV/0!</v>
      </c>
      <c r="AK51" s="3">
        <f>+AK36*AK$15</f>
        <v>0</v>
      </c>
      <c r="AL51" s="85" t="e">
        <f t="shared" si="21"/>
        <v>#DIV/0!</v>
      </c>
      <c r="AM51" s="3">
        <f>+J$50*AM36</f>
        <v>0</v>
      </c>
      <c r="AN51" s="85" t="e">
        <f t="shared" si="22"/>
        <v>#DIV/0!</v>
      </c>
      <c r="AO51" s="256">
        <f t="shared" si="23"/>
        <v>0</v>
      </c>
    </row>
    <row r="52" spans="1:41" ht="15" thickBot="1" x14ac:dyDescent="0.35">
      <c r="A52" s="30"/>
      <c r="B52" s="52" t="s">
        <v>85</v>
      </c>
      <c r="C52" s="25"/>
      <c r="D52" s="53"/>
      <c r="E52" s="56"/>
      <c r="F52" s="53"/>
      <c r="G52" s="54"/>
      <c r="Y52" s="192"/>
      <c r="Z52" s="46"/>
      <c r="AA52" s="191"/>
      <c r="AB52" s="191"/>
      <c r="AC52" s="191"/>
      <c r="AD52" s="191"/>
      <c r="AE52" s="31"/>
      <c r="AG52" s="253" t="s">
        <v>31</v>
      </c>
      <c r="AI52" s="3">
        <f>+AI38*AI$15</f>
        <v>0</v>
      </c>
      <c r="AJ52" s="86" t="e">
        <f t="shared" si="20"/>
        <v>#DIV/0!</v>
      </c>
      <c r="AK52" s="21">
        <f>+AK38*AK15</f>
        <v>0</v>
      </c>
      <c r="AL52" s="86" t="e">
        <f t="shared" si="21"/>
        <v>#DIV/0!</v>
      </c>
      <c r="AM52" s="21">
        <f>+J$50*AM38</f>
        <v>0</v>
      </c>
      <c r="AN52" s="86" t="e">
        <f t="shared" si="22"/>
        <v>#DIV/0!</v>
      </c>
      <c r="AO52" s="255">
        <f t="shared" si="23"/>
        <v>0</v>
      </c>
    </row>
    <row r="53" spans="1:41" ht="15" thickBot="1" x14ac:dyDescent="0.35">
      <c r="A53" s="30"/>
      <c r="B53" s="55" t="s">
        <v>14</v>
      </c>
      <c r="C53" s="56"/>
      <c r="D53" s="56"/>
      <c r="E53" s="56"/>
      <c r="F53" s="56"/>
      <c r="G53" s="230">
        <f>+S17</f>
        <v>0</v>
      </c>
      <c r="Y53" s="192"/>
      <c r="Z53" s="46"/>
      <c r="AA53" s="191"/>
      <c r="AB53" s="191"/>
      <c r="AC53" s="191"/>
      <c r="AD53" s="191"/>
      <c r="AE53" s="31"/>
      <c r="AG53" s="257" t="s">
        <v>2</v>
      </c>
      <c r="AH53" s="87"/>
      <c r="AI53" s="88">
        <f>SUM(AI43:AI52)</f>
        <v>0</v>
      </c>
      <c r="AJ53" s="90" t="e">
        <f t="shared" si="20"/>
        <v>#DIV/0!</v>
      </c>
      <c r="AK53" s="89">
        <f>SUM(AK43:AK52)</f>
        <v>0</v>
      </c>
      <c r="AL53" s="90" t="e">
        <f t="shared" si="21"/>
        <v>#DIV/0!</v>
      </c>
      <c r="AM53" s="89">
        <f>SUM(AM43:AM52)</f>
        <v>0</v>
      </c>
      <c r="AN53" s="91" t="e">
        <f t="shared" si="22"/>
        <v>#DIV/0!</v>
      </c>
      <c r="AO53" s="258">
        <f>SUM(AO43:AO52)</f>
        <v>0</v>
      </c>
    </row>
    <row r="54" spans="1:41" ht="15" thickBot="1" x14ac:dyDescent="0.35">
      <c r="A54" s="30"/>
      <c r="B54" s="229" t="s">
        <v>13</v>
      </c>
      <c r="C54" s="210"/>
      <c r="D54" s="210"/>
      <c r="E54" s="210"/>
      <c r="F54" s="210"/>
      <c r="G54" s="243">
        <v>130</v>
      </c>
      <c r="I54" s="195"/>
      <c r="Y54" s="192"/>
      <c r="Z54" s="46"/>
      <c r="AA54" s="191"/>
      <c r="AB54" s="191"/>
      <c r="AC54" s="191"/>
      <c r="AD54" s="191"/>
      <c r="AE54" s="31"/>
      <c r="AG54" s="259" t="s">
        <v>41</v>
      </c>
      <c r="AH54" s="24"/>
      <c r="AI54" s="24"/>
      <c r="AJ54" s="24"/>
      <c r="AK54" s="24"/>
      <c r="AL54" s="24"/>
      <c r="AM54" s="24"/>
      <c r="AN54" s="24"/>
      <c r="AO54" s="260">
        <f>+AO43*10</f>
        <v>0</v>
      </c>
    </row>
    <row r="55" spans="1:41" ht="15" thickBot="1" x14ac:dyDescent="0.35">
      <c r="A55" s="30"/>
      <c r="B55" s="242" t="s">
        <v>15</v>
      </c>
      <c r="C55" s="49"/>
      <c r="D55" s="49"/>
      <c r="E55" s="49"/>
      <c r="F55" s="49"/>
      <c r="G55" s="244">
        <f>+G53/G54</f>
        <v>0</v>
      </c>
      <c r="Y55" s="192"/>
      <c r="Z55" s="46"/>
      <c r="AA55" s="191"/>
      <c r="AB55" s="191"/>
      <c r="AC55" s="191"/>
      <c r="AD55" s="191"/>
      <c r="AE55" s="31"/>
      <c r="AG55" s="261" t="s">
        <v>77</v>
      </c>
      <c r="AH55" s="262"/>
      <c r="AI55" s="262"/>
      <c r="AJ55" s="262"/>
      <c r="AK55" s="262"/>
      <c r="AL55" s="262"/>
      <c r="AM55" s="262"/>
      <c r="AN55" s="262"/>
      <c r="AO55" s="263">
        <f>+AO53-AO54</f>
        <v>0</v>
      </c>
    </row>
    <row r="56" spans="1:41" x14ac:dyDescent="0.3">
      <c r="A56" s="30"/>
      <c r="AD56" s="191"/>
      <c r="AE56" s="31"/>
      <c r="AG56" s="5"/>
      <c r="AO56" s="247"/>
    </row>
    <row r="57" spans="1:41" x14ac:dyDescent="0.3">
      <c r="A57" s="30"/>
      <c r="AD57" s="46"/>
      <c r="AE57" s="31"/>
    </row>
    <row r="58" spans="1:41" x14ac:dyDescent="0.3">
      <c r="A58" s="30"/>
      <c r="AD58" s="46"/>
      <c r="AE58" s="31"/>
    </row>
    <row r="59" spans="1:41" x14ac:dyDescent="0.3">
      <c r="A59" s="30"/>
      <c r="AD59" s="46"/>
      <c r="AE59" s="31"/>
    </row>
    <row r="60" spans="1:41" x14ac:dyDescent="0.3">
      <c r="A60" s="30"/>
      <c r="AD60" s="9"/>
      <c r="AE60" s="31"/>
    </row>
    <row r="61" spans="1:41" ht="15" thickBot="1" x14ac:dyDescent="0.35">
      <c r="A61" s="32"/>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4"/>
      <c r="AE61" s="35"/>
    </row>
    <row r="62" spans="1:41" ht="15" thickTop="1" x14ac:dyDescent="0.3">
      <c r="AD62" s="9"/>
    </row>
  </sheetData>
  <mergeCells count="80">
    <mergeCell ref="B4:AD6"/>
    <mergeCell ref="C7:F10"/>
    <mergeCell ref="G7:L10"/>
    <mergeCell ref="M7:N10"/>
    <mergeCell ref="O7:P7"/>
    <mergeCell ref="Q7:R7"/>
    <mergeCell ref="S7:U10"/>
    <mergeCell ref="V7:X10"/>
    <mergeCell ref="Y7:Y10"/>
    <mergeCell ref="Z7:Z10"/>
    <mergeCell ref="AA7:AA8"/>
    <mergeCell ref="AB7:AB10"/>
    <mergeCell ref="AC7:AC10"/>
    <mergeCell ref="O8:P8"/>
    <mergeCell ref="Q9:R9"/>
    <mergeCell ref="B11:B12"/>
    <mergeCell ref="C11:C12"/>
    <mergeCell ref="D11:D12"/>
    <mergeCell ref="E11:E12"/>
    <mergeCell ref="F11:F12"/>
    <mergeCell ref="G11:I11"/>
    <mergeCell ref="J11:L11"/>
    <mergeCell ref="M11:N11"/>
    <mergeCell ref="U11:U12"/>
    <mergeCell ref="X11:X12"/>
    <mergeCell ref="Y11:Y12"/>
    <mergeCell ref="Z11:Z12"/>
    <mergeCell ref="AA11:AA12"/>
    <mergeCell ref="AB11:AB12"/>
    <mergeCell ref="AC11:AC12"/>
    <mergeCell ref="AG13:AO13"/>
    <mergeCell ref="AG14:AG16"/>
    <mergeCell ref="AH14:AH15"/>
    <mergeCell ref="AI16:AO16"/>
    <mergeCell ref="AG17:AG18"/>
    <mergeCell ref="AI17:AO17"/>
    <mergeCell ref="AG19:AG20"/>
    <mergeCell ref="AB21:AB24"/>
    <mergeCell ref="AD21:AD25"/>
    <mergeCell ref="AG21:AG22"/>
    <mergeCell ref="B22:Z23"/>
    <mergeCell ref="AG23:AG24"/>
    <mergeCell ref="B24:B25"/>
    <mergeCell ref="C24:C25"/>
    <mergeCell ref="D24:D25"/>
    <mergeCell ref="G24:I24"/>
    <mergeCell ref="J24:L24"/>
    <mergeCell ref="M24:N24"/>
    <mergeCell ref="Q24:R24"/>
    <mergeCell ref="V24:W24"/>
    <mergeCell ref="X24:X25"/>
    <mergeCell ref="Y24:Y25"/>
    <mergeCell ref="Z24:Z25"/>
    <mergeCell ref="AC24:AC25"/>
    <mergeCell ref="AG25:AG26"/>
    <mergeCell ref="J26:L35"/>
    <mergeCell ref="AG27:AG28"/>
    <mergeCell ref="AG29:AG30"/>
    <mergeCell ref="AG31:AG32"/>
    <mergeCell ref="AG33:AG34"/>
    <mergeCell ref="AG35:AG36"/>
    <mergeCell ref="AG37:AG38"/>
    <mergeCell ref="C39:D39"/>
    <mergeCell ref="AG39:AG42"/>
    <mergeCell ref="AI39:AI42"/>
    <mergeCell ref="AK39:AK42"/>
    <mergeCell ref="AM39:AM42"/>
    <mergeCell ref="AO39:AO42"/>
    <mergeCell ref="C40:D42"/>
    <mergeCell ref="Z40:Z44"/>
    <mergeCell ref="G45:H45"/>
    <mergeCell ref="J45:K45"/>
    <mergeCell ref="J49:K49"/>
    <mergeCell ref="J50:K50"/>
    <mergeCell ref="J46:K46"/>
    <mergeCell ref="G47:H47"/>
    <mergeCell ref="J47:K47"/>
    <mergeCell ref="G48:H48"/>
    <mergeCell ref="J48:K48"/>
    <mergeCell ref="G46:H46"/>
  </mergeCells>
  <pageMargins left="0.45" right="0.45" top="0.5" bottom="0" header="0" footer="0"/>
  <pageSetup scale="3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8D60D-EC65-4F32-B034-E07FC88E4A4D}">
  <dimension ref="A1"/>
  <sheetViews>
    <sheetView showGridLines="0" topLeftCell="A34" workbookViewId="0">
      <selection activeCell="V7" sqref="V7"/>
    </sheetView>
  </sheetViews>
  <sheetFormatPr defaultRowHeight="14.4" x14ac:dyDescent="0.3"/>
  <cols>
    <col min="2" max="2" width="8.88671875" customWidth="1"/>
  </cols>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da1eb6f-197d-4c01-a42b-7c4b7d553d92">
      <Terms xmlns="http://schemas.microsoft.com/office/infopath/2007/PartnerControls"/>
    </lcf76f155ced4ddcb4097134ff3c332f>
    <TaxCatchAll xmlns="04223a75-2c8b-4bd9-9d4b-201dc8384a27" xsi:nil="true"/>
    <Period xmlns="71d84047-0311-4c10-98e2-eb1765479b3d" xsi:nil="true"/>
    <_Flow_SignoffStatus xmlns="cda1eb6f-197d-4c01-a42b-7c4b7d553d9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D43EA094AC074A81820F3D12C953EE" ma:contentTypeVersion="20" ma:contentTypeDescription="Create a new document." ma:contentTypeScope="" ma:versionID="05822edbf295ddd4cd5071d3f3056610">
  <xsd:schema xmlns:xsd="http://www.w3.org/2001/XMLSchema" xmlns:xs="http://www.w3.org/2001/XMLSchema" xmlns:p="http://schemas.microsoft.com/office/2006/metadata/properties" xmlns:ns2="71d84047-0311-4c10-98e2-eb1765479b3d" xmlns:ns3="ab88f558-c34c-4d3b-b50b-61be983a6730" xmlns:ns4="cda1eb6f-197d-4c01-a42b-7c4b7d553d92" xmlns:ns5="04223a75-2c8b-4bd9-9d4b-201dc8384a27" targetNamespace="http://schemas.microsoft.com/office/2006/metadata/properties" ma:root="true" ma:fieldsID="9e64dac38439b81d6021787f5209a9ba" ns2:_="" ns3:_="" ns4:_="" ns5:_="">
    <xsd:import namespace="71d84047-0311-4c10-98e2-eb1765479b3d"/>
    <xsd:import namespace="ab88f558-c34c-4d3b-b50b-61be983a6730"/>
    <xsd:import namespace="cda1eb6f-197d-4c01-a42b-7c4b7d553d92"/>
    <xsd:import namespace="04223a75-2c8b-4bd9-9d4b-201dc8384a27"/>
    <xsd:element name="properties">
      <xsd:complexType>
        <xsd:sequence>
          <xsd:element name="documentManagement">
            <xsd:complexType>
              <xsd:all>
                <xsd:element ref="ns2:MediaServiceMetadata" minOccurs="0"/>
                <xsd:element ref="ns2:MediaServiceFastMetadata" minOccurs="0"/>
                <xsd:element ref="ns2:Period" minOccurs="0"/>
                <xsd:element ref="ns3:SharedWithUsers" minOccurs="0"/>
                <xsd:element ref="ns3:SharedWithDetails"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lcf76f155ced4ddcb4097134ff3c332f" minOccurs="0"/>
                <xsd:element ref="ns5:TaxCatchAll" minOccurs="0"/>
                <xsd:element ref="ns4:MediaServiceObjectDetectorVersions" minOccurs="0"/>
                <xsd:element ref="ns4:MediaLengthInSeconds" minOccurs="0"/>
                <xsd:element ref="ns4:MediaServiceSearchProperties" minOccurs="0"/>
                <xsd:element ref="ns4: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d84047-0311-4c10-98e2-eb1765479b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Period" ma:index="10" nillable="true" ma:displayName="Sort Order" ma:indexed="true" ma:internalName="Period" ma:percentage="FALSE">
      <xsd:simpleType>
        <xsd:restriction base="dms:Number">
          <xsd:maxInclusive value="12"/>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ab88f558-c34c-4d3b-b50b-61be983a673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a1eb6f-197d-4c01-a42b-7c4b7d553d92" elementFormDefault="qualified">
    <xsd:import namespace="http://schemas.microsoft.com/office/2006/documentManagement/types"/>
    <xsd:import namespace="http://schemas.microsoft.com/office/infopath/2007/PartnerControls"/>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e2cb310-5e02-4270-b942-08cdf53475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223a75-2c8b-4bd9-9d4b-201dc8384a27"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e4fdf92-8b05-4d21-8bd1-ada1edf06730}" ma:internalName="TaxCatchAll" ma:showField="CatchAllData" ma:web="04223a75-2c8b-4bd9-9d4b-201dc8384a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56B09A-B733-4CE1-9F6A-AF69CD9868A5}">
  <ds:schemaRefs>
    <ds:schemaRef ds:uri="http://schemas.microsoft.com/office/2006/metadata/properties"/>
    <ds:schemaRef ds:uri="http://schemas.microsoft.com/office/infopath/2007/PartnerControls"/>
    <ds:schemaRef ds:uri="cda1eb6f-197d-4c01-a42b-7c4b7d553d92"/>
    <ds:schemaRef ds:uri="04223a75-2c8b-4bd9-9d4b-201dc8384a27"/>
    <ds:schemaRef ds:uri="71d84047-0311-4c10-98e2-eb1765479b3d"/>
  </ds:schemaRefs>
</ds:datastoreItem>
</file>

<file path=customXml/itemProps2.xml><?xml version="1.0" encoding="utf-8"?>
<ds:datastoreItem xmlns:ds="http://schemas.openxmlformats.org/officeDocument/2006/customXml" ds:itemID="{C37EF792-2BB1-496B-AE79-4F57E15C1F05}">
  <ds:schemaRefs>
    <ds:schemaRef ds:uri="http://schemas.microsoft.com/sharepoint/v3/contenttype/forms"/>
  </ds:schemaRefs>
</ds:datastoreItem>
</file>

<file path=customXml/itemProps3.xml><?xml version="1.0" encoding="utf-8"?>
<ds:datastoreItem xmlns:ds="http://schemas.openxmlformats.org/officeDocument/2006/customXml" ds:itemID="{913C8905-6532-4363-AC31-10CE56C7FE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d84047-0311-4c10-98e2-eb1765479b3d"/>
    <ds:schemaRef ds:uri="ab88f558-c34c-4d3b-b50b-61be983a6730"/>
    <ds:schemaRef ds:uri="cda1eb6f-197d-4c01-a42b-7c4b7d553d92"/>
    <ds:schemaRef ds:uri="04223a75-2c8b-4bd9-9d4b-201dc8384a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6575454-b7dc-4e1c-9162-2ca66b917249}" enabled="0" method="" siteId="{26575454-b7dc-4e1c-9162-2ca66b91724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HTF Funding Analysis</vt:lpstr>
      <vt:lpstr>HTF Funding - No Increases</vt:lpstr>
      <vt:lpstr>T&amp;I Opening Statements 4.29.25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Robbins</dc:creator>
  <cp:lastModifiedBy>John Culp</cp:lastModifiedBy>
  <cp:lastPrinted>2025-05-20T17:49:41Z</cp:lastPrinted>
  <dcterms:created xsi:type="dcterms:W3CDTF">2025-04-08T13:46:04Z</dcterms:created>
  <dcterms:modified xsi:type="dcterms:W3CDTF">2025-06-13T13:53:01Z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0x01010039D43EA094AC074A81820F3D12C953EE</vt:lpwstr>
  </property>
</Properties>
</file>